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hared drives\Energy Program\04. Energy202122\3. Western Cape DEDAT 202122\8. Finance industry brief\"/>
    </mc:Choice>
  </mc:AlternateContent>
  <bookViews>
    <workbookView xWindow="0" yWindow="0" windowWidth="20496" windowHeight="6156" tabRatio="810" activeTab="4"/>
  </bookViews>
  <sheets>
    <sheet name="Introduction sheet" sheetId="28" r:id="rId1"/>
    <sheet name="Background &amp; Instructions" sheetId="30" r:id="rId2"/>
    <sheet name="Government" sheetId="25" r:id="rId3"/>
    <sheet name=" Development Finance (DFI)" sheetId="24" r:id="rId4"/>
    <sheet name="Commercial" sheetId="27" r:id="rId5"/>
    <sheet name="Other" sheetId="26" r:id="rId6"/>
    <sheet name="Input" sheetId="29" state="hidden" r:id="rId7"/>
  </sheets>
  <definedNames>
    <definedName name="_xlnm._FilterDatabase" localSheetId="3" hidden="1">' Development Finance (DFI)'!$A$1:$O$56</definedName>
    <definedName name="_xlnm._FilterDatabase" localSheetId="4" hidden="1">Commercial!$A$1:$O$48</definedName>
    <definedName name="_xlnm._FilterDatabase" localSheetId="2" hidden="1">Government!$A$1:$O$34</definedName>
    <definedName name="_xlnm._FilterDatabase" localSheetId="5" hidden="1">Other!$A$1:$O$14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0" i="24" l="1"/>
  <c r="O27" i="24"/>
  <c r="O48" i="27"/>
  <c r="O26" i="24"/>
  <c r="M26" i="24"/>
  <c r="O12" i="26" l="1"/>
  <c r="O11" i="26"/>
  <c r="M13" i="26"/>
  <c r="M12" i="26"/>
  <c r="O47" i="27"/>
  <c r="O46" i="27"/>
  <c r="O39" i="27"/>
  <c r="O45" i="27"/>
  <c r="O44" i="27"/>
  <c r="O43" i="27"/>
  <c r="M47" i="27"/>
  <c r="M46" i="27"/>
  <c r="M39" i="27"/>
  <c r="M45" i="27"/>
  <c r="O38" i="27"/>
  <c r="O37" i="27"/>
  <c r="O36" i="27"/>
  <c r="O35" i="27"/>
  <c r="O33" i="27"/>
  <c r="O32" i="27"/>
  <c r="O31" i="27"/>
  <c r="O30" i="27"/>
  <c r="O29" i="27"/>
  <c r="O28" i="27"/>
  <c r="M38" i="27"/>
  <c r="M36" i="27"/>
  <c r="M33" i="27"/>
  <c r="M32" i="27"/>
  <c r="M31" i="27"/>
  <c r="M30" i="27"/>
  <c r="M28" i="27"/>
  <c r="O18" i="27"/>
  <c r="O17" i="27"/>
  <c r="O15" i="27"/>
  <c r="O14" i="27"/>
  <c r="O12" i="27"/>
  <c r="O11" i="27"/>
  <c r="O10" i="27"/>
  <c r="O9" i="27"/>
  <c r="O8" i="27"/>
  <c r="O20" i="27"/>
  <c r="O6" i="27"/>
  <c r="M15" i="27"/>
  <c r="M14" i="27"/>
  <c r="M12" i="27"/>
  <c r="M9" i="27"/>
  <c r="M8" i="27"/>
  <c r="M20" i="27"/>
  <c r="M6" i="27"/>
  <c r="O6" i="26" l="1"/>
  <c r="M6" i="26"/>
  <c r="O5" i="26" l="1"/>
  <c r="O40" i="27" l="1"/>
  <c r="O28" i="24"/>
  <c r="O4" i="26"/>
  <c r="O3" i="26"/>
  <c r="O2" i="26"/>
  <c r="O39" i="24" l="1"/>
  <c r="M39" i="24"/>
  <c r="O25" i="24"/>
  <c r="O24" i="24" l="1"/>
  <c r="M24" i="24"/>
  <c r="O23" i="24"/>
  <c r="M23" i="24"/>
  <c r="O29" i="24"/>
  <c r="O7" i="24"/>
  <c r="O6" i="24"/>
  <c r="O17" i="24"/>
  <c r="O5" i="24"/>
  <c r="O9" i="24"/>
  <c r="O8" i="24"/>
  <c r="O14" i="24"/>
  <c r="O16" i="24"/>
  <c r="O19" i="24"/>
  <c r="O13" i="24"/>
  <c r="O15" i="24"/>
  <c r="O11" i="24"/>
  <c r="O10" i="24"/>
  <c r="O43" i="24"/>
  <c r="O42" i="24"/>
  <c r="O41" i="24"/>
  <c r="O40" i="24"/>
  <c r="M29" i="24"/>
  <c r="M17" i="24"/>
  <c r="M5" i="24"/>
  <c r="M9" i="24"/>
  <c r="M8" i="24"/>
  <c r="M14" i="24"/>
  <c r="M16" i="24"/>
  <c r="M19" i="24"/>
  <c r="M13" i="24"/>
  <c r="M15" i="24"/>
  <c r="M11" i="24"/>
  <c r="M42" i="24"/>
  <c r="M41" i="24"/>
  <c r="M40" i="24"/>
  <c r="O19" i="25"/>
  <c r="O32" i="25"/>
  <c r="O31" i="25"/>
  <c r="O29" i="25"/>
  <c r="O28" i="25"/>
  <c r="O27" i="25"/>
  <c r="O25" i="25"/>
  <c r="O21" i="25"/>
  <c r="O24" i="25"/>
  <c r="O22" i="25"/>
  <c r="O20" i="25"/>
  <c r="O18" i="25"/>
  <c r="O17" i="25"/>
  <c r="O16" i="25"/>
  <c r="O15" i="25"/>
  <c r="O14" i="25"/>
  <c r="O13" i="25"/>
  <c r="O12" i="25"/>
  <c r="O23" i="25"/>
  <c r="O11" i="25"/>
  <c r="O10" i="25"/>
  <c r="O9" i="25"/>
  <c r="O8" i="25"/>
  <c r="O7" i="25"/>
  <c r="O6" i="25"/>
  <c r="O5" i="25"/>
  <c r="M19" i="25"/>
  <c r="M32" i="25"/>
  <c r="M29" i="25"/>
  <c r="M28" i="25"/>
  <c r="M27" i="25"/>
  <c r="M25" i="25"/>
  <c r="M22" i="25"/>
  <c r="M18" i="25"/>
  <c r="M23" i="25"/>
  <c r="M7" i="25"/>
</calcChain>
</file>

<file path=xl/sharedStrings.xml><?xml version="1.0" encoding="utf-8"?>
<sst xmlns="http://schemas.openxmlformats.org/spreadsheetml/2006/main" count="1925" uniqueCount="887">
  <si>
    <t>Investment opportunity information</t>
  </si>
  <si>
    <t>Africa Finance Corporation</t>
  </si>
  <si>
    <t>Debt; Equity</t>
  </si>
  <si>
    <t>Africa Finance Corporation Principle Investing</t>
  </si>
  <si>
    <t>info@africafc.org</t>
  </si>
  <si>
    <t>T: +234 1 279 9600</t>
  </si>
  <si>
    <t>https://www.africafc.org/</t>
  </si>
  <si>
    <t>Type of source/ Intermediary of finance</t>
  </si>
  <si>
    <t>Name of  source/ Intermediary of finance</t>
  </si>
  <si>
    <t>Financial instrument</t>
  </si>
  <si>
    <t xml:space="preserve">Type of disbursement channel </t>
  </si>
  <si>
    <t>Name of  disbursment channel</t>
  </si>
  <si>
    <t>Direct Use</t>
  </si>
  <si>
    <t>Public/ Private</t>
  </si>
  <si>
    <t>Sector(s)</t>
  </si>
  <si>
    <t>Fund Contact Website</t>
  </si>
  <si>
    <t>Fund Contact Details / Contact Name</t>
  </si>
  <si>
    <t>Fund Contact E-mail</t>
  </si>
  <si>
    <t>Fund Contact Number</t>
  </si>
  <si>
    <t>Size of investment</t>
  </si>
  <si>
    <t>Name of funding opportunity</t>
  </si>
  <si>
    <t>Debt: Unspecified; Equity: From US$10 million - US$50 million</t>
  </si>
  <si>
    <t>Multilateral DFI</t>
  </si>
  <si>
    <t>Blended</t>
  </si>
  <si>
    <t>Government</t>
  </si>
  <si>
    <t>Aquaculture Development and Enhancement Programme (ADEP)</t>
  </si>
  <si>
    <t>MAFISA  provides financial services to smallholder producers in the agriculture, forestry and fisheries sector. The objective of the scheme is to address the financial services needs of smallholder producers in the  sector. Services provided through the scheme include production loans, facilitation of saving mobilization and capacity building for member owned financial institutions (intermediaries). The purpose of the loan:
Purchase of production inputs (fertilizers, seeds, pesticides etc.);
Purchase of small equipments and implements such as (Knapsack spray, birds drinkers and feeders, wheel barrow, spades etc);
Purchase of breeding livestock, medication, feed, branding material etc.</t>
  </si>
  <si>
    <t>Ekurhuleni Community Enterprise Development Fund (ECEDF)</t>
  </si>
  <si>
    <t>The City of Ekurhuleni (CoE) has launched its Community Enterprise Development Fund (ECED) as part of its multi-pronged strategy to boost the local economy and create jobs. The fund will support the development of community enterprises in the form of individual entrepreneurs, small, micro and medium enterprises, cooperatives, informal traders and formal businesses.The ECED fund is exclusively reserved for Ekurhuleni based entrepreneurs. The ECED Fund has been grouped into three funding options:
Ximilani Fund  
Phanda Fund
Fetola Fund</t>
  </si>
  <si>
    <t>The KwaZulu-Natal Growth Fund Trust</t>
  </si>
  <si>
    <t>The KZN Growth Fund Trust (KGFT) was set up in 2008 as an initiative of the KZN Government’s Department of Economic Development, Tourism and Environmental Affairs (EDTEA). The KZN Growth Fund targets projects and investments across many sectors in the province. The fund provides debt or equity, competitive pricing starting from below prime depending on clients’ risk profile, and interest and capital repayment holidays of up to 2 years with a loan term ranging between five and nine years. Projects must have a sustainable economic impact in KwaZulu-Natal, require a minimum of 40% BBBEE ownership or BBBEE score of at least 65 points (level 4), and require funding for capital expenditure projects (CAPEX). The fund does not finance working capital.</t>
  </si>
  <si>
    <t>Township economy
Industrialisation
Business services
Environmental services
Human development</t>
  </si>
  <si>
    <t>Cost-sharing grant</t>
  </si>
  <si>
    <t>Debt</t>
  </si>
  <si>
    <t>Debt; Equity (structured senior debt, mezzanine debt and equity products, including quasi-equity)</t>
  </si>
  <si>
    <t>&lt; R500,000</t>
  </si>
  <si>
    <t>Ximilani Fund: R100,000 &lt; R6 million  
Phanda Fund: R50,000  &lt; R1,5 million
Fetola Fund: R100,000 &lt; R8 million</t>
  </si>
  <si>
    <t>Unspecified</t>
  </si>
  <si>
    <t xml:space="preserve">Gugu Shelembe (Economic Development)
Bheki Madonsela (Economic Development)
George Thabethe (Economic Development)
</t>
  </si>
  <si>
    <t>012 319 7263 / 6825 / 7216</t>
  </si>
  <si>
    <t xml:space="preserve">Gugu Shelembe
011 999-7890
Economic Development
Bheki Madonsela
011 999-4828/7774
Economic Development
George Thabethe
011 999-7004
Economic Development
</t>
  </si>
  <si>
    <t>T: +27 31 372 3720</t>
  </si>
  <si>
    <t>PortiaMahl@daff.gov.za
ElizabethKh@daff.gov.za</t>
  </si>
  <si>
    <t>ECEDFundGroup1@ekurhuleni.gov.za; ECEDFund Group2@ekurhuleni.gov.za; ECEDFundGroup3@ekurhuleni.gov.za</t>
  </si>
  <si>
    <t>info@kzngf.co.za</t>
  </si>
  <si>
    <t>http://www.thedtic.gov.za/financial-and-non-financial-support/incentives/aquaculture-development-and-enhancement-programme/</t>
  </si>
  <si>
    <t>https://www.dalrrd.gov.za/Branches/Administration/Development-Finance</t>
  </si>
  <si>
    <t>https://www.ekurhuleni.gov.za/about-the-city/campaigns/ekurhuleni-community-enterprise-development-fund.html</t>
  </si>
  <si>
    <t>http://www.kzngrowthfund.co.za/</t>
  </si>
  <si>
    <t>Department of Trade and Industry and Competition (dtic)</t>
  </si>
  <si>
    <t>Department of Agriculture, Land Reform, and Rural Development</t>
  </si>
  <si>
    <t>City of Ekurhuleni</t>
  </si>
  <si>
    <t>KwaZulu-Natal Department of Economic Development, Tourism and Environmental Affairs (EDTEA)</t>
  </si>
  <si>
    <t>National Government</t>
  </si>
  <si>
    <t>Local Government</t>
  </si>
  <si>
    <t>Department of Energy (DoE)</t>
  </si>
  <si>
    <t>Department of Science and Technology (DST)</t>
  </si>
  <si>
    <t>Department of Tourism</t>
  </si>
  <si>
    <t>Department of Trade and Industry (dti)</t>
  </si>
  <si>
    <t>Eskom</t>
  </si>
  <si>
    <t>Industrial Development Corporation (IDC)</t>
  </si>
  <si>
    <t>National Empowerment Fund</t>
  </si>
  <si>
    <t>National Research Foundation (NRF)</t>
  </si>
  <si>
    <t>National Youth Development Agency</t>
  </si>
  <si>
    <t>Public Investment Corporation (PIC)</t>
  </si>
  <si>
    <t>Small Enterprise Development Agency (SEDA)</t>
  </si>
  <si>
    <t>Small Enterprise Finance Agency (sefa)</t>
  </si>
  <si>
    <t>South Africa National Energy Development Institution (SANEDI)</t>
  </si>
  <si>
    <t>South African Revenue Services (SARS)</t>
  </si>
  <si>
    <t>Technology Innovation Agency (TIA)</t>
  </si>
  <si>
    <t>Cash Flow Capital</t>
  </si>
  <si>
    <t>CDI Capital</t>
  </si>
  <si>
    <t>Energy Efficiency Demand Side Management (EEDSM) Programme</t>
  </si>
  <si>
    <t>National Skills Fund</t>
  </si>
  <si>
    <t>11D Scientific and Technological R&amp;D Tax Incentive</t>
  </si>
  <si>
    <t>The Black Business Supplier Development Programme (BBSDP)</t>
  </si>
  <si>
    <t>Shared Economic Infrastructure Facility (SEIF)</t>
  </si>
  <si>
    <t>Co-operative Incentive Scheme</t>
  </si>
  <si>
    <t>Green Tourism Incentive Programme</t>
  </si>
  <si>
    <t>12I Tax Allowance Incentive</t>
  </si>
  <si>
    <t>Technology and Human Resources for Industry Programme (THRIP)</t>
  </si>
  <si>
    <t>Black Industrialist Scheme</t>
  </si>
  <si>
    <t xml:space="preserve">Strategic Partnership Programme (SPP) </t>
  </si>
  <si>
    <t>Critical Infrastructure Programme</t>
  </si>
  <si>
    <t>Sector Specific Assistance Scheme (SSAS)</t>
  </si>
  <si>
    <t>Export Marketing &amp; Investment Assistance Scheme (EMIA)</t>
  </si>
  <si>
    <t>Agro-Processing Support Scheme (APSS)</t>
  </si>
  <si>
    <t>Green Energy Efficiency Fund</t>
  </si>
  <si>
    <t>Manufacturing Industry Finance</t>
  </si>
  <si>
    <t>Isibaya Fund</t>
  </si>
  <si>
    <t>Seda Technology Programme (STP)</t>
  </si>
  <si>
    <t>12K CDM Tax Incentive (2009)</t>
  </si>
  <si>
    <t>12B RE Depreciation Incentive</t>
  </si>
  <si>
    <t>Working capital solution</t>
  </si>
  <si>
    <t xml:space="preserve">Growth Fund </t>
  </si>
  <si>
    <t>Design Innovation Seed Fund</t>
  </si>
  <si>
    <t>Working Capital and Term Loan facility</t>
  </si>
  <si>
    <t>Capital Projects Feasibility Programme (CPFP)</t>
  </si>
  <si>
    <t>Energy Efficiency Demand Side Management (EEDSM) Programme is funded through the Division of Revenue Act (National Treasury). Funding is administered by the DoE, available to municipalities for energy efficiency projects. Proposals must be submitted each year by municipalities.</t>
  </si>
  <si>
    <t>The Taxation Laws Amendment Act 2011 introduced specific enhancements to the existing scientific and or technological research and development (R&amp;D) tax incentive provided under Section 11D of the Income Tax Act. A company undertaking R&amp;D in the Republic of South Africa qualifies for a 150%  tax deduction of its operational R&amp;D expenditure.</t>
  </si>
  <si>
    <t>The Black Business Supplier Development Programme (BBSDP) is a cost-sharing grant offered to small 51% black-owned enterprises to assist them to improve their competitiveness and sustainability. Focused on assisting with Plant, Tools and Machinery. R 800K  for tools, on 50:50 cost sharing basis, and R200k  for business development on a 80:20 cost sharing basis. Eligible applicants should have R250K  - R350K turnover per year</t>
  </si>
  <si>
    <t>Co-operative Incentive Scheme (CIS) is a 100% grant for registered primary co-operatives. The objective of the CIS  is to improve the viability and competitiveness of co-operative enterprises by lowering their cost of doing business through an incentive that supports Broad-Based Black Economic Empowerment.</t>
  </si>
  <si>
    <t>The National Department of Tourism (NDT) has established a R142.5 million Green Tourism Incentive Programme (GTIP) over a three-year period (FY 2017/18 to FY2019/20), with a key objective of encouraging privately-owned tourism enterprises to implement responsible tourism practices utilising cleaner and renewable energy sources and the efficient utilisation of water. GTIP provides grant funding of up to R1 million to qualifying small and micro tourism enterprises to reduce their energy and water consumption and costs. The programme is managed by the Industrial Development Corporation (IDC) on behalf of the NDT.</t>
  </si>
  <si>
    <t>The loan facilities are offered by the Manufacturing Competitiveness Enhancement Programme (MCEP) aimed at encouraging manufacturers to upgrade their production facilities in a manner that sustains employment and maximises value-addition in the short to medium term. This is available to existing manufacturing operations, engineering services company in the Republic of South Africa. The Industrial Financing and Loan facilities comprises two components i.e. Pre and post-dispatch Working Capital Facility and the Industrial Policy Niche Projects Fund.</t>
  </si>
  <si>
    <t>This fund is designed to support greenfield investments (i.e. new industrial projects that utilise only new and unused manufacturing assets), as well as brownfield investments (i.e. expansions or upgrades of existing industrial projects). The incentive offers support for both capital investment and training. Minimum qualifying assets for greenfield project (R 50 million) and brownfield project (R 30 million or the lesser of R50 million or 25% of the expenditure on existing assets)</t>
  </si>
  <si>
    <t>The Technology and Human Resources for Industry Programme (THRIP) is a flagship research and development programme of the dti and the NRF. The NRF contributes research management and opportunities to leverage national and international research initiatives, so that the technology and industry development aims of the dti are taken forward effectively. Partnerships in pre-commercial research between business and the public-funded research base including universities and research institutions. On a cost-sharing basis with industry, THRIP supports Science, Engineering and Technology (SET) research collaboration focused on addressing the technology needs of the participating firms.</t>
  </si>
  <si>
    <t>Strategic Partnership Programme (SPP) supports manufacturing and services supply capacity of suppliers with linkages to strategic partners' supply chains, industries or sectors</t>
  </si>
  <si>
    <t xml:space="preserve"> The primary objective is to facilitate feasibility studies that are likely to lead to projects that will increase SA exports, stimulate growth for the local capital goods and services sector and allied industries. New projects, expansion of existing projects and the rehabilitation of existing projects. Only South African companies eligible.</t>
  </si>
  <si>
    <t xml:space="preserve"> A cost sharing grant for projects designed to improve critical infrastructure in South Africa. The grant covers qualifying development costs from a minimum of 10% to a maximum of 30% towards the total development costs of qualifying infrastructure. It is made available to approved eligible enterprise upon the completion of the infrastructure project concerned. Public or private entities eligible.</t>
  </si>
  <si>
    <t>Scheme develops export markets for South African products and services and to recruit new foreign direct investment into the country, provide marketing assistance to develop new export markets and grow existing export markets and assist companies to increase their competitive by supporting patent registrations, quality marks and product marks. Scheme benefits include exhibition fees up to a maximum of R50 000, return economy-class airfare, Assist with facilitation to grow FDI through missions and FDI research</t>
  </si>
  <si>
    <t>The Agro-Processing Support Scheme (APSS) aims to stimulate investment by the South African agro-processing / beneficiation (agri-business) enterprises. The scheme offers a 20% to a 30% cost-sharing grant to a maximum of R20 million over a two-year investment period.</t>
  </si>
  <si>
    <t>Rebate received on the purchase and installation of selected energy efficiency / renewable energy products. Energy Efficiency project developers with savings more than 500kW and less that 6 months implementation.</t>
  </si>
  <si>
    <t>Green business unit and credit line from AFD to finance EE/RE. Municipal projects included in their IDP, and approved by council and the CFO will receive funding.</t>
  </si>
  <si>
    <t xml:space="preserve">Industrial financing loan facilities (the Working Capital Component) to promote competitiveness in manufacturing while ensuring job retention in the sector. The production incentive grants administered by the Department of Trade and Industry, as part of what was the Manufacturing Competitiveness Enhancement Programme (MCEP) has been suspended indefinitely. </t>
  </si>
  <si>
    <t>Only black entrepreneurs eligible. Provides loans from R250k - R75m for startups, expansions, rural development, acquisitions and working capital (contract finance) at around Prime +2%. Low hit rates for startups (1 out of 90 last year). Excluding sole traders, 'sin' businesses and primary agriculture. Business plan (commercial viability) is absolutely crucial. Post-investment mentorship is provided in order to ensure viability. </t>
  </si>
  <si>
    <t>Research/study funding for public tertiary institutions.</t>
  </si>
  <si>
    <t>Provides grants to businesses owned by young people. Up to R100k, with a turnaround of 21 working days. Also provides a 3 day workshop  to educate entrepreneurs on business fundamentals. Grants over R10k require business registration. Grants R50k - R100k, NYDA often requests quotes as they can pay suppliers directly. Significant focus on assessing and upskilling young people.</t>
  </si>
  <si>
    <t xml:space="preserve">Development Investment fund managed by PIC. Economic infrastucture (commuter transport, ICT and broadband infrastructure, energy and water infrastracture, liquid fuel and logistic network).  Environmental sustainability (renewable energy, clean technology, green firms, conservation, recyclIng waste managent and climate change)                </t>
  </si>
  <si>
    <t xml:space="preserve">Seda Technology Programme (STP) is responsible for the provision of both financial and non-financial technology transfer, business incubation and quality support services for small enterprise. </t>
  </si>
  <si>
    <t xml:space="preserve">Direct Lending where individuals apply directly to sefa.
Varies (Direct Lending: R50k - R5m); 1-5yrs
</t>
  </si>
  <si>
    <t>Wholesale Lending where financial intemediaries (Joint ventures, funds, RFI, MFI) are used.
Varies (Wholesale lending: R20m-R100m); 1-5yrs</t>
  </si>
  <si>
    <t xml:space="preserve"> Tax incentives are being introduced for businesses that can show measurable energy savings.</t>
  </si>
  <si>
    <t>South African businesses receiving benefits from Clean Development Mechanisms (CDM) are exempt from tax on revenue derived from such benefits, be it in the form of Income Tax or Capital Gains Tax. To qualify, CDM projects require both South African approval and UNFCCC registration. Currently, South African approval must be obtained from the Department of Minerals and Energy, referred to in United Nations parlance as the "Designated National Authority".</t>
  </si>
  <si>
    <t xml:space="preserve"> Under section 12B of the Income Tax Act, businesses can depreciate investments in renewable energy and bio fuel production at a rate of 50:30:20.</t>
  </si>
  <si>
    <t>Financial support to proposals based on merit- full list of  criteria items listed on the website. SA companies, research and academic institutions.</t>
  </si>
  <si>
    <t>Unlike banks, Cash Flow Capital provides businesses with loans, based on turnover, rather than assets. The business cash advance is tailored to merchants with a daily turnover. With our loans, all costs are known up front, and repayments are flexible and manageable. Quick, straightforward application process. It only takes 10 minutes, and pay out is in 3 days. Monthly sales that exceed R 300 000</t>
  </si>
  <si>
    <t>The Growth Fund is a new funding initiative established as part of the CDI’s three-year R33m Jobs Fund project, funded by the National Treasury through the Government Technical Advisory Centre (GTAC), the Technology Innovation Agency (TIA) and the Western Cape Department of Economic Development and Tourism (DEDAT).
The Fund is inviting SME’s experiencing growth or poised for expansion and able to create sustainable quality jobs to apply for grant funding. Applicants required to match grant funding amount with 20% of your own cash. Apply for R 21 000 for every permanent job created.
 The Growth Fund is open to businesses with turnover or assets of more than R1 million with the ability to create 600 permanent jobs over a 3-year period</t>
  </si>
  <si>
    <t>The Design Innovation Seed Fund is open to inventors who believe they have protectable innovative technological solutions that could impact on specific sectors and could create permanent jobs</t>
  </si>
  <si>
    <t xml:space="preserve"> The Working Capital and Term Loan facility, provides working capital and term loans at reduced rates for the duration of the three-year project to provide access to cash flow during the growth stage of SME’s. </t>
  </si>
  <si>
    <t>"The Capital Projects Feasibility Programme (CPFP) is a cost-sharing grant that contributes to the cost of feasibility studies likely to lead to projects that will increase local exports and stimulate the market for South African capital goods and services. The primary objectives of the programme is to facilitate feasibility studies that are likely to lead to high-impact projects which will stimulate value-adding economic activities in South Africa as this will have greater impact on the country’s industrial policy objectives"</t>
  </si>
  <si>
    <t>Energy</t>
  </si>
  <si>
    <t>Various sectors</t>
  </si>
  <si>
    <t>Sustainable Agriculture</t>
  </si>
  <si>
    <t xml:space="preserve">Green Economy </t>
  </si>
  <si>
    <t>Grant</t>
  </si>
  <si>
    <t xml:space="preserve">Grant </t>
  </si>
  <si>
    <t>Rebate</t>
  </si>
  <si>
    <t xml:space="preserve">Scheme </t>
  </si>
  <si>
    <t>Debt/Grant</t>
  </si>
  <si>
    <t>Debt/Equity</t>
  </si>
  <si>
    <t>Debt/Guarantee</t>
  </si>
  <si>
    <t>Debt/Equity/Grant</t>
  </si>
  <si>
    <t>R 1 million</t>
  </si>
  <si>
    <t>R 5 million</t>
  </si>
  <si>
    <t>&lt; R 1 million</t>
  </si>
  <si>
    <t>&lt; R 30 million</t>
  </si>
  <si>
    <t>R 350 million  - R900 million</t>
  </si>
  <si>
    <t>&lt; R 20 million</t>
  </si>
  <si>
    <t>&lt; R 50 million</t>
  </si>
  <si>
    <t>R 250 K - R75 million</t>
  </si>
  <si>
    <t>R 50 K - R 100 K</t>
  </si>
  <si>
    <t>R 50 K - R 5 million</t>
  </si>
  <si>
    <t>R 20 million - R 100 million</t>
  </si>
  <si>
    <t>R 21K - R 2 million</t>
  </si>
  <si>
    <t>R 100 K - R 5 million</t>
  </si>
  <si>
    <t>National Skills Authority</t>
  </si>
  <si>
    <t>Ms Dimakatso Mokone</t>
  </si>
  <si>
    <t>Mr Siyabonga Mahlangu</t>
  </si>
  <si>
    <t xml:space="preserve">Mr Sithembile Tantsi </t>
  </si>
  <si>
    <t>Crystal Papier or Andre Potgieter</t>
  </si>
  <si>
    <t>Marinky Tshephe</t>
  </si>
  <si>
    <t>Mr. Thaka Lehohla</t>
  </si>
  <si>
    <t>Ms Suzan Chiloane </t>
  </si>
  <si>
    <t>Wayne Fortuin</t>
  </si>
  <si>
    <t>Western Cape Office (other provincial offices available on the website)</t>
  </si>
  <si>
    <t>Dr Eugene Lottering</t>
  </si>
  <si>
    <t>Stephen Curry (Western Cape branch)</t>
  </si>
  <si>
    <t>Head office and Regional offices numbers on the website.</t>
  </si>
  <si>
    <t>Barry Bredenkamp (Senior Manager)</t>
  </si>
  <si>
    <t>Mr. Ryan Rode</t>
  </si>
  <si>
    <t>James Koko</t>
  </si>
  <si>
    <t xml:space="preserve">012 309 4469
012 309 4340
021 461 6030 </t>
  </si>
  <si>
    <t>012 843 6560
012 843 6829</t>
  </si>
  <si>
    <t>0861843384</t>
  </si>
  <si>
    <t>011 269 3086</t>
  </si>
  <si>
    <t>012 394 1258</t>
  </si>
  <si>
    <t>012 394 1069
012 394 1427</t>
  </si>
  <si>
    <t>012 481 4060</t>
  </si>
  <si>
    <t>012 394 1245</t>
  </si>
  <si>
    <t>086 184 3384</t>
  </si>
  <si>
    <t xml:space="preserve">012 394 1208 </t>
  </si>
  <si>
    <t>021 431 4760
086 1 63 3927</t>
  </si>
  <si>
    <t>012 481 4000</t>
  </si>
  <si>
    <t>021 415 2040</t>
  </si>
  <si>
    <t>012 742 3400</t>
  </si>
  <si>
    <t>012 441 1375</t>
  </si>
  <si>
    <t xml:space="preserve">012 748 9600 </t>
  </si>
  <si>
    <t>012 472 2700</t>
  </si>
  <si>
    <t>087 357 3595</t>
  </si>
  <si>
    <t>012 394-1037</t>
  </si>
  <si>
    <t>infonsf@labour.gov.za</t>
  </si>
  <si>
    <t>CPapier@thedti.gov.za
Andre@thedti.gov.za</t>
  </si>
  <si>
    <t>TLehohla@thedti.gov.za</t>
  </si>
  <si>
    <t>Wayne.Fortuin@eskom.co.za
Arend.Louw@eskom.co.za
Kiran.Ranchhod@eskom.co.za</t>
  </si>
  <si>
    <t>info@pic.gov.za</t>
  </si>
  <si>
    <t>ryan.rode@thecdi.org.za</t>
  </si>
  <si>
    <t>New Development Bank (BRICS Bank)</t>
  </si>
  <si>
    <t>ZAR Bond Programme</t>
  </si>
  <si>
    <t>Climate Investment Funds (CIFs)</t>
  </si>
  <si>
    <t>Clean Technology Fund (CTF) ; Strategic Climate Fund (SCF)</t>
  </si>
  <si>
    <t>French Development Agency (AFD)</t>
  </si>
  <si>
    <t>SUNREF (Sustainable Use of Natural Resources and Energy Financing) Programme South Africa</t>
  </si>
  <si>
    <t>Financial Sector Deepening Africa (FSD Africa)</t>
  </si>
  <si>
    <t>FSD Africa Investments</t>
  </si>
  <si>
    <t>AFD Green Energy Fund</t>
  </si>
  <si>
    <t>Enterprise and Supplier Development (ESD) Fund</t>
  </si>
  <si>
    <t>Land and Agricultural Development Bank of South Africa</t>
  </si>
  <si>
    <t>Long-term finance: Mortgage Finance</t>
  </si>
  <si>
    <t>Medium-term Loans</t>
  </si>
  <si>
    <t>Asset Finance: Instalment Sale Finance</t>
  </si>
  <si>
    <t>Short-term Loans: Production Credit</t>
  </si>
  <si>
    <t>Short-term Loans: Revolving Credit Facility</t>
  </si>
  <si>
    <t>Customised funding solution: Guarantees</t>
  </si>
  <si>
    <t>Customised funding solution: Value Chain Finance</t>
  </si>
  <si>
    <t>Customised funding solution: Forced Stock Deposit</t>
  </si>
  <si>
    <t>Eastern Cape Development Corporation</t>
  </si>
  <si>
    <t>IMVABA  Eastern Cape Provincial Co-operative Development Fund</t>
  </si>
  <si>
    <t>Eastern Cape Rural Development Agency (ECRDA)</t>
  </si>
  <si>
    <t>ECRDA Rural Finance</t>
  </si>
  <si>
    <t>Free State Development Corporation (FDC)</t>
  </si>
  <si>
    <t>FDC SMME and Co-operatives Funding</t>
  </si>
  <si>
    <t>The Gauteng Enterprise Propeller</t>
  </si>
  <si>
    <t>The Gauteng Enterprise Propeller Financial Support</t>
  </si>
  <si>
    <t>Ithala Agriculture &amp; Agro-processing Finance</t>
  </si>
  <si>
    <t>Mpumalanga Economic Growth Agency (MEGA)</t>
  </si>
  <si>
    <t>Mpumalanga Economic Growth Agency Business Development Programme</t>
  </si>
  <si>
    <t>Bilateral DFI (public industrial and commercial institution)</t>
  </si>
  <si>
    <t>International FSD</t>
  </si>
  <si>
    <t>National DFI</t>
  </si>
  <si>
    <t>Provincial DFI</t>
  </si>
  <si>
    <t xml:space="preserve">The New Development Bank (NDB) is a multilateral development bank established by BRICS countries to mobilise resources for infrastructure and sustainable development projects  and mandate to issue green, social and sustainability bonds. The NDB registered the ZAR Bond Programme in South Africa in April 2019 with unlimited validity listed on Johannesburg Stock Exchange (JSE). Standard Bank of South Africa acts as a lead-arranger for the Programme and Absa Bank is a co-arranger. The size of of the bond totals ZAR 10bn (~US$ 700mn) with a focus on green and sustainability financing instruments. Green eligible sectors include: Agribusiness; Clean Transportation; Climate Change Adaptation; Energy-efficient building; Energy efficiency; Low carbon energy; Renewable energy; Sustainable land use and biodiversity; Sustainable waste management; Sustainable water management and irrigation; Pollution prevention and control.
</t>
  </si>
  <si>
    <t>The $8 billion Climate Investment Funds (CIF) accelerates climate action by empowering transformations in clean technology, energy access, climate resilience, and sustainable forests in developing and middle income countries. The $5.4 billion Clean Technology Fund (CTF) provides developing countries with resources to scale up low carbon technologies with significant potential for long-term greenhouse gas emissions savings. The Dedicated Private Sector Programs (DPSP) are dedicated funding windows of the CTF that provide risk-appropriate capital to finance high-impact, large-scale private sector projects in clean technology, such as geothermal power, mini-grids, energy efficiency, and solar PV. The Private Sector Set Asides (PSSAs) allocate concessional financing on a competitive basis to projects that engage the private sector in sustainable forestry (FIP), climate resilience (PPCR), and energy access through renewable energy in low income countries (SREP).</t>
  </si>
  <si>
    <t>SUNREF, developed by French Development Agency (AFD), is a programme that offers a credit line to partner bank IDC, and a technical assistance facility hosted by SANEDI (The South African National Energy Development Institute) and funded by SECO, the State Secretariat for Economic Affairs in Switzerland. The SUNREF credit line with the IDC is a debt fund, offered at a concessionary rate, but can be combined with the IDC’s equity products in some cases. The types of projects which would be considered for funding comprise solar rooftop PV, biogas projects, biomass energy projects, but also any industrial projects that improve their processes to reduce their carbon emissions.</t>
  </si>
  <si>
    <t>FSD Africa is funded by UK aid from the UK government, with a mandate to transform financial markets across sub-Saharan Africa. FSD Africa provides early-stage, risk-bearing capital to selected firms that can strengthen financial markets in Africa through its investment arm, FSD Africa Investments. FSD Africa deploys a mix of tools to disperse capital, including loans, guarantees and equity or quasi-equity. FSD Africa invests in 3 key developmental areas: 1. Access to finance (solutions that broaden access to finance for small firms, and to financial services for underserved communities.); 2. Basic services (firms that, through innovative financial solutions, unlock access to affordable housing, clean energy, electricity, water and sanitation.); 3. Capital markets (ventures that strengthen local currencies and remove barriers to capital raising for SMEs, providing low-risk, long-term finance to the real sector.)</t>
  </si>
  <si>
    <t>The R1bn AFD Green Energy Fund provides finance to renewable energy and energy efficiency projects of smaller scale and manufacturing of green products in South Africa. Fund Profile: Total investment cost not higher that 25% of the Facility (ca R250 million per project);
Normal risk pricing with a cap of Prime + 1.6% or an equivalent fixed rate;
Minimum investment period of 3 years;
Maximum payback based on energy savings of 8 years; and
Standard IDC fees apply.</t>
  </si>
  <si>
    <t>The Small Enterprise Finance Agency (sefa) launched, with Ecosystem Development for Small Enterprise (EDSE) Programme support and co-financing, an Enterprise and Supplier Development (ESD) Fund to provide loans to targeted financial intermediaries. Its goal is to increase lending to qualifying SMMEs with links to corporate and public sector supply chains. The ESD Fund has an allocation of €20 million, constituted of equal contributions from the European Union, via the EDSE Programme, and sefa. The ESD Fund will benefit SMMEs by providing finance at a lower cost, with the EU’s contribution being a grant, providing the opportunity for sefa to offer an attractive blended-finance option.</t>
  </si>
  <si>
    <t>Long-term finance: Mortgage Finance | A long-term loan used to finance agricultural-related capital expenditure such as: Purchase of land/property; Repayment of debt incurred for the purhase of property; Purchase and installation of machinery and equipment; Fixed assets and imporvements; Other agriculture related CAPEX. Loan is term dependent up to 25 years. Security can be in the form of a first bond over fixed property/additional security arranged ina greement with the bank. Repayment terms are linked to the cash flow cycles of the business.</t>
  </si>
  <si>
    <t>Medium-term Loans: To finance medium-term agricultural funding needs such as: Establishment of perennial crops; Purchase and installation of agrisultural equipment; Structural and general insfrastructure improvements; Purchase of moveable assets; Purchase of livestock. Term of loan is purpose-dependent up to 15 years. Repayment terms are linked to cash flow cycles of the business.</t>
  </si>
  <si>
    <t>Asset Finance: Instalment Sale Finance | To finance medium-term agricultural funding needs such as: Vehicles; Tractors; Agricultural equipment (assets not covered under the medium term loan); Other moveable assets that are agriculturally justified. Term of loan is puspose-dependent up to 12 years. Repayment terms are linked to the business cash flow cycles.</t>
  </si>
  <si>
    <t>Short-term Loans: Production Credit: A short-term credit facility used to finance agricultural inputs and working capital for crop and livestock enterprises. Maximum term of loan of 5 years, to be reviewed annually. Loan is repayable in full annually or when proceeds of the crop are received.</t>
  </si>
  <si>
    <t>Short-term Loans: Revolving Credit Facility | A short-term loan used to finance short-term capital requirements, general and operational needs fo the business. The product is offered for the following commodities/sub-sectors: Feedlots; Poultry; Piggeries; Cash crops; Wine; Mixed farming (crop and/or livestock); Agro-processing. Maximum term of loan of 5 years, to be reviewed annually. Loan is repayable in line with income stream/s and structured based on cash flow cycles of the business.</t>
  </si>
  <si>
    <t>Customised funding solution: Guarantees | To assist corporate clients to issue guarantees for agricultural related activities or insurance premium guarantees. All guarantees issued on behalf of clients are noted as a commitment against an existing revolving credit facility. The facility amount to be sufficient to accommodate debt and teh commitment. Guarantees issued in line with the term of the revolving credit facility reviewed annually.</t>
  </si>
  <si>
    <t>Customised funding solution: Value Chain Finance | The Land Bank provides production finance to a farmer against a written agreement between the farmer and buyer for cultivation and sale of a specific quality, quantity, grade and varierty of a commodity based on a specific price setting mechanism that allows the value of the contract to be determined over the loan terms. Both the famrer and buyer must meet the eligibility conditions set by the Land Bank's credit process. Term of loan is seasonal, renewable annually upon review with client or at end of production cycle.</t>
  </si>
  <si>
    <t>Customised funding solution: Forced Stock Deposit | Assists farmers who have to sell livestock due to drought with a facility where they can deposit the proceeds from the sale for a minimum of 6 months. Farmers in disaster declared areas are granted exemption from income tax for livestock sold as a result of the drought. Minimum deposit period of 6 months - 6 years. To qualify for a tax exemption, no funds can be withdrawn before the expiration period of six months. Interest rate: Prime-linked. Only funds that have been obtained from stock sales due to drought disasters can be deposited under the facility. Deposits from the sale of stock mist be deposited at the Land Bank within 3 months from date of livestock disposal.</t>
  </si>
  <si>
    <t>Imvaba fund will be available to co-operatives in the Eastern Cape Province. The co-operative must create direct new decent jobs, and/or must save existing jobs. The Imbaba Co-operative fund product mix includes technical mentorship and capacity building support, co-operative governance training support, seed capital funding (non-repayable), and loan financing repayable over 3-5 years for a maximum of 12 months with cost of capital linked to prime for finacing commercialization activities. Technical Mentorship and Capacity Building will cover such activities as mentorship, technical skills, once-off auditing and governance training. These costs will be incurred by Imvaba's part of the approved funding structure. Potential co-operative members can inquire about basic information from ECDC Regional Offices, DEDEA Regional Offices, ECDC and DEDEA websites</t>
  </si>
  <si>
    <t>The Eastern Cape Rural Development Agency (ECRDA) promotes, supports and facilitates rural development in the Eastern Cape Province. ECRDA ensures that rural programmes and enterprises have the requisite working and operating capital to bring their ideas to life. ECRDAs Rural Finance Unit pays particular focus on the quality of loans disbursed, number of beneficiary enterprises and on the recovery of disbursed loans. The organisation typically splits its loan portfolio between agricultural and non-agricultural loans for rural entrepreneurs. Applications for finance are accepted from all qualifying individuals, legal entities or groupings of people who perform their agricultural / entrepreneurial / business activities in an economically viable and sustainable manner.</t>
  </si>
  <si>
    <t>The FDC delivers the following products and services to SMMEs &amp; Co-operatives:
• Financial (business loans, equity  and investments)
• Business development (in  partnership with stakeholders)
• Partner support services (including property-management through the FDC property portfolio). FDC financial products include: Co-operatives Development Fund; Informal Sector Fund; Franchise Development Fund; Youth Fund; General Enterprise Development Fund; Bridging Finance (construction and non-construction related); Agriculture Development Fund - Production Loan; Agriculture Development Fund - Livestock Loan; Agricultural Related Need Industrial Equipment Loan.</t>
  </si>
  <si>
    <t>The Gauteng Enterprise Propeller provides financial support services that propel SMME’s into the mainstream economy, revitalizes township economies and grows the key economic sectors. In the financial year 2019/2020 GEP will focus their financing mainly on short term contract loans of up to 12 months. The applicants will be allowed more than one funding application for a contract loan per financial year provided that the cessions of progress payments are in place. The repayment term for the contract loans are linked to the duration of the contract and are usually up to 12 months. The interest rate charged on these loans will be fixed at 8% per annum. GEP has 3 committees: Regional; Management; Board. Each committee adjucates different products. 1. Regional Committee Products: Community Fund; Township Business Renewal; Cooperative Asssistance Programme. 2. Management Committee Products: Management Committe Business Development Products (of up to R1,5mil in support); Management Credit Committtee (loan applications) of up to R1,5mil support. 3. Board Committee Products: Development and credit applications from R1,5 mil and above. GEP also has a Contract Finance Product to assist clients who secure contracts, tenders and off-take agreements.</t>
  </si>
  <si>
    <t>Products under this sector have been developed to support SMMEs and Co-operatives in putting productive land to use. Ithala provides funding solutions to farmers focusing on commodities such as sugar cane, grain crops, fruits, forestry, vegetables and livestock. Funding solutions offered under this product include: Land and fixed improvements (a long term loan for the acquisition of land and fixed improvements, i.e. implement sheds, dams, underground irrigation system etc); Equipment Finance (acquisition of agricultural movable assets including center pivots, tractors, loaders, farming equipment, trucks etc); Working Capital (financing the production costs directly related to the cultivation of the crop and input costs for livestock to be financed, i.e.; seeds, fertilizer, fuel, oil, weed killers, pesticides, storage costs, crop insurance premiums, hedging costs, fodder, licks, dipping fluid and ear tags. This also covers acquisition of livestock for feed-lotting and speculation, layers, broilers etc); Livestock Finance (acquisition of breeding livestock); Empowerment equity finance</t>
  </si>
  <si>
    <t>Agriculture and Agro-Processing Funding; SMMEs and Co-operatives Funding: Loans including Bridging Finance, Business Establishment, Guarantees, Agro- business loans from R10 000 to R3 000 000 at the prime lending interest rate, over a period from 3 to 10 years are available. Applicants are also given mentorship opportunities and training</t>
  </si>
  <si>
    <t>Debt; Equity; Guarantee</t>
  </si>
  <si>
    <t>Guarantee</t>
  </si>
  <si>
    <t>Subsidy</t>
  </si>
  <si>
    <t>R10,000 &lt; R1,4 million</t>
  </si>
  <si>
    <t>Co-operatives Development Fund (&lt;R500,000); Informal Sector Fund (R5,000 &lt; R50,000); Franchise Development Fund (&lt;R5 million); Youth Fund (R50,000 &lt; R500,000); General Enterprise Development Fund (R50,000 &lt; R5 million); Bridging Finance (construction and non-construction related) (R1 million &lt; R5 million); Agriculture Development Fund - Production Loan (&lt; R500,000); Agriculture Development Fund - Livestock Loan (&lt; R100,000); Agricultural Related Need Industrial Equipment Loan (&lt; R500,000).</t>
  </si>
  <si>
    <t>&lt; R1,5 million</t>
  </si>
  <si>
    <t>Affordable housing, clean energy, electricity, water and sanitation</t>
  </si>
  <si>
    <t>Leandro Azevedo (Senior Climate Finance Officer, CIF Coordinator); Phillips Gareth (Division Manager)</t>
  </si>
  <si>
    <t>Barry Bredenkamp</t>
  </si>
  <si>
    <t>Kiendel Burritt (Adviser, FSD Africa Investments)</t>
  </si>
  <si>
    <t xml:space="preserve">Business Finance Consultants
Ms. Lindiwe Buthelezi
</t>
  </si>
  <si>
    <t>T: +27 11 100 4544</t>
  </si>
  <si>
    <t>T: 011 269 3000</t>
  </si>
  <si>
    <t>T: +27 (12) 035 1113</t>
  </si>
  <si>
    <t>T: 043 704 5600
M: 043 704 5600</t>
  </si>
  <si>
    <t>T:+27(0)43 703 6300</t>
  </si>
  <si>
    <t>051 4000 800
051 4000 845</t>
  </si>
  <si>
    <t>T: 0870572000</t>
  </si>
  <si>
    <t>T: 031 372 1248</t>
  </si>
  <si>
    <t>T: +27 (0) 13 755 6328</t>
  </si>
  <si>
    <t>enquiries.arc@ndb.int.</t>
  </si>
  <si>
    <t>l.azevedo@afdb.org ; g.phillips@afdb.org</t>
  </si>
  <si>
    <t>BarryB@sanedi.org.za.</t>
  </si>
  <si>
    <t>kiendel@fsdafrica.org</t>
  </si>
  <si>
    <t>EDSE@thepalladiumgroup.com</t>
  </si>
  <si>
    <t xml:space="preserve"> admin@imvaba.co.za</t>
  </si>
  <si>
    <t>info@ecrda.co.za</t>
  </si>
  <si>
    <t>wecare@fdc.co.za
info@fdc.co.za</t>
  </si>
  <si>
    <t>mpillay@gep.co.za; enquiries@gep.co.za</t>
  </si>
  <si>
    <t>lbuthelezi@ithala.co.za</t>
  </si>
  <si>
    <t>info@mega.gov.za</t>
  </si>
  <si>
    <t>https://www.ndb.int/</t>
  </si>
  <si>
    <t>https://www.climateinvestmentfunds.org/</t>
  </si>
  <si>
    <t>https://www.sunref.org/en/; www.sanedi.org.za</t>
  </si>
  <si>
    <t>https://www.fsdafrica.org/</t>
  </si>
  <si>
    <t>https://www.idc.co.za/afd-green-energy-fund</t>
  </si>
  <si>
    <t>https://edse.org.za/</t>
  </si>
  <si>
    <t>http://www.imvaba.co.za/</t>
  </si>
  <si>
    <t>http://www.ecrda.co.za/index.php/ruralfinance</t>
  </si>
  <si>
    <t>https://www.fdc.co.za/loan-products</t>
  </si>
  <si>
    <t>https://www.gep.co.za/what-we-do/financial-support/</t>
  </si>
  <si>
    <t>http://www.ithala.co.za/business-finance/agriculture-and-agro-processing-finance</t>
  </si>
  <si>
    <t>http://www.mega.gov.za/</t>
  </si>
  <si>
    <t>Arise</t>
  </si>
  <si>
    <t>Development Bank of South Africa (DBSA)</t>
  </si>
  <si>
    <t>GreenFund</t>
  </si>
  <si>
    <t>SADC Project Preparation and Development Facility</t>
  </si>
  <si>
    <t>European Investment Bank (EIB)</t>
  </si>
  <si>
    <t>Special Climate Change Fund</t>
  </si>
  <si>
    <t>German Bank for Reconstruction and Development (Kreditanstalt fur Wiederaufbau - KfW)</t>
  </si>
  <si>
    <t xml:space="preserve">German Investment Corporation (DEG)
</t>
  </si>
  <si>
    <t>Global Environmental Facility (GEF)</t>
  </si>
  <si>
    <t>Global Innovation Fund</t>
  </si>
  <si>
    <t>International Finance Corporation (IFC)</t>
  </si>
  <si>
    <t>Renewable Energy and Energy Efficiency Partnership (REEEP)</t>
  </si>
  <si>
    <t>The African Development Bank</t>
  </si>
  <si>
    <t>Sustainable Energy Fund for Africa: Project Preparation Grants (Component I)</t>
  </si>
  <si>
    <t xml:space="preserve">Sustainable Energy Fund for Africa: Seed/Growth Capital (Component II) </t>
  </si>
  <si>
    <t xml:space="preserve">World Bank </t>
  </si>
  <si>
    <t>World Bank Green Bonds</t>
  </si>
  <si>
    <t>International Development Association 18</t>
  </si>
  <si>
    <t xml:space="preserve">IDC Gro-E Scheme </t>
  </si>
  <si>
    <t>"We partner with sustainable locally owned financial services providers in Sub-Saharan Africa who are searching for a way to keep their independence but need financial expertise and long-term capital to prosper. Our in-depth local knowledge, minority shareholding and hands-on approach gives them the support they need to become financially sustainable and a strong contributor to the economy."</t>
  </si>
  <si>
    <t xml:space="preserve">The Department of Environmental Affairs (DEA) has set aside R800 million to establish the Green Fund. The DEA has appointed the DBSA as the implementing agent of the Green Fund. The Green Fund aims to provide catalytic finance to facilitate investment in green initiatives that will support South Africa’s transition towards a green economy. This excludes projects which cannot demonstrate significant funding gap, and would have proceeded anyway. </t>
  </si>
  <si>
    <t>Joint initiative from SA government and European Union funded by European Union for a total of 100 million euros to support NDP and Regional Infrastructure Development Master Plan of SADC. This fund is expected to support the implementation of the government infrastructure programme and to address the constraints to infrastructure development in  South Africa and in the SADC region</t>
  </si>
  <si>
    <t>The programme was created to address the shortage in project preparation funding for infrastructure projects in the region. The funds are administered, managed and disbursed by DBSA on behalf of the SADC Secretariat and is funded by the European Union and KFW Investment Bank. The funds provides technical assistance for infrastructure project identification, preparation and feasibility studies with a view of making  the projects bankable and attractive to investors.</t>
  </si>
  <si>
    <t>The Sustainable Settlements Facility (SSF) aims to assist by providing a financial product to scale up energy efficiency interventions for large-scale, low-income public housing in order to meet a climate compatible future that addresses South Africa’s development agenda. The Fund is being managed between South South North and the DBSA.</t>
  </si>
  <si>
    <t>The focus is promising local private sector RE/EE project opportunities that are close to commercial maturity but need a limited amount of ‘bridging’ finance (~R1m) to enable sustainable business growth. The applications are sought in two stages: 1) concept notes (current stage), based on which successfully ranked applicants are invited to submit 2) full project proposals. To qualify for EEP support projects should also demonstrate high innovation in delivering energy services, facilitating technology transfer, encouraging cooperation and local stakeholders’ participation in projects. Focus areas are: biomass, waste-to-energy (includng biogas), solar PV, wind power, hydro and hybrid.</t>
  </si>
  <si>
    <t xml:space="preserve">Products including direct loans, intermediated loans through public or private financing institutions, as well as the GEEREF fund which takes minority investments in specialist renewable energy and energy efficiency private equity funds developing small and medium-sized projects in emerging markets.  Amount to be discussed with the following range available: ca. R250,000 - Up to 50% of total project costs; Duration: Up to 20 years. Depends largely on expected economic life of underlying assets being financed. </t>
  </si>
  <si>
    <t>The Special Climate Change Fund is a United Nations Framework Convention on Climate Change created multilateral fund, operated by the Global Environment Facility worth ~US$ 350m. The SCCF is open to all vulnerable developing countries. It is designed to finance activities, programs and measures related to climate change that are complementary to those funded through the climate change focal area of the GEF, under the following four financing windows.
1. Adaptation to climate change (Top priority)
2. Technology transfer;
3. Mitigation in selected sectors including: energy, transport, industry, agriculture, forestry and waste management; and
4. Economic diversification.</t>
  </si>
  <si>
    <t>For public entities focussing on energy and climate change.</t>
  </si>
  <si>
    <t>Amount TBD (R4m-R30m) for a duration of 4 years. Private sector only.</t>
  </si>
  <si>
    <t>Concessional funding</t>
  </si>
  <si>
    <t>Across our portfolio, we support innovators who are committed to using and generating rigorous evidence about what works in developing countries. We use a staged funding approach at the Global Innovation Fund. Applicants should meaningfully improve the lives of those living with less than  $5 PPP per day. The more evidence you have of the effectiveness of your innovation, and the larger its scale, the larger our potential investment and funding has caps  at each stage: Pilot - $ 230, 000; Test &amp; transition - $ 2.3 million; Scale - $15 million</t>
  </si>
  <si>
    <t>"IFU and Danish Climate Investment Fund (KIF) have invested in over 60 climate-related projects in more than 20 countries in Africa, Asia, Latin America and Eastern Europe. Therefore, we have significant knowledge and insight into conditions, opportunities and challenges when implementing investments in developing countries and emerging markets far from Denmark."</t>
  </si>
  <si>
    <t>Available to private sector development projects, IFC does not lend directly to micro, small, and medium enterprises or individual entrepreneurs, but many of our investment clients are financial intermediaries that on-lend to smaller businesses. Applicants should be located in developing country that is a member of IFC. Submit an investment proposal to the country office.</t>
  </si>
  <si>
    <t>RE and EE projects in the private and public sector. Over the next four years, REEEP seeks to leverage R50 million of donor funding into R1 billion of private investment in clean energy solutions by 2022.</t>
  </si>
  <si>
    <t>For renewable energy and energy efficiency project with total capital investment needs in the range of USD$ 30 – 75 million. Funding available for private sector only</t>
  </si>
  <si>
    <t>It will mainly target  renewable energy  and  energy efficiency  projects  requiring  total  investments  of  USD$ 10 – 30  million range. Funding available for private sector only</t>
  </si>
  <si>
    <t>The GEF SGP provides grant funding to NGOs and CBOs in developing countries to enable them to implement projects in the areas of climate change, and the environment. These projects must meet environmental objectives and also support poverty reduction and local empowerment objectives. Excludes: Research projects, conferences, individuals, bursaries, salaries. The fund is valued at US$ 1.5 million with a maximum investment of US$ 50k over a 2 year duration.</t>
  </si>
  <si>
    <t>World Bank Green Bonds are an opportunity to invest in climate solutions through a high quality credit fixed income product. The triple-A credit quality of the Green Bonds is the same as for any other World Bank bonds. Positive environmental returns by supporting World Bank projects addressing mitigation and adaptation solutions for climate change</t>
  </si>
  <si>
    <t>IDA18 was finalized in December 2016 and will finance projects (bonds to complement donor funding) over the three-year period from July 1, 2017 to June 30, 2020. $45-billion has been set aside for Africa. Procurement activities cover everything from engineering feasibility studies and civil works.</t>
  </si>
  <si>
    <t>Equity</t>
  </si>
  <si>
    <t>Grant/Subsidy/Guarantee</t>
  </si>
  <si>
    <t>Grant/Subsidy/Rebate</t>
  </si>
  <si>
    <t>Debt/Equity/Guarantee</t>
  </si>
  <si>
    <t xml:space="preserve">Equity/Grant </t>
  </si>
  <si>
    <t>USD$ 5 million</t>
  </si>
  <si>
    <t>EUR 200 000 - EUR 1 million</t>
  </si>
  <si>
    <t>R 4 million - R 30 million</t>
  </si>
  <si>
    <t>$ 230 000 - $ 15 million</t>
  </si>
  <si>
    <t>&lt; R 5 million</t>
  </si>
  <si>
    <t>US $ 30 million - US $ 75 million</t>
  </si>
  <si>
    <t>US $ 10 million - US $ 30 million</t>
  </si>
  <si>
    <t>USD$ 50 000</t>
  </si>
  <si>
    <t xml:space="preserve">R 1 million - R1 billion </t>
  </si>
  <si>
    <t>Rawleston Moore or Saliha Dobardzic</t>
  </si>
  <si>
    <t>Busso Alvensleben (Director KfW Office Pretoria)</t>
  </si>
  <si>
    <t xml:space="preserve">Michael Fischer (Director, DEG Representative Office Johannesburg) </t>
  </si>
  <si>
    <t>Khathutshelo Neluheni</t>
  </si>
  <si>
    <t>Johnny Hansen</t>
  </si>
  <si>
    <t>Saleem Karimjee (Country Manager)</t>
  </si>
  <si>
    <t>Nicole Algio</t>
  </si>
  <si>
    <t>João Duarte Cunha (Technical Contact (Secretariat)</t>
  </si>
  <si>
    <t>Anele Moyo or Motsei Choabi</t>
  </si>
  <si>
    <t>Patience Bongiwe Kunene</t>
  </si>
  <si>
    <t>eep.eco@kpmg.fi</t>
  </si>
  <si>
    <t>eds25@worldbank.org</t>
  </si>
  <si>
    <t>021 300 2222</t>
  </si>
  <si>
    <t>011 313 5050</t>
  </si>
  <si>
    <t>071 742 6081</t>
  </si>
  <si>
    <t>012 425 0460</t>
  </si>
  <si>
    <t>+1 202 473 0508</t>
  </si>
  <si>
    <t>012 423 6357</t>
  </si>
  <si>
    <t>011 507 2500</t>
  </si>
  <si>
    <t>012 354 8166</t>
  </si>
  <si>
    <t>+45 33 63 75 00</t>
  </si>
  <si>
    <t>011 731 3000</t>
  </si>
  <si>
    <t>010 201 4763</t>
  </si>
  <si>
    <t>012 354 8166
012 354 8155</t>
  </si>
  <si>
    <t>+1-202-473-9974</t>
  </si>
  <si>
    <t>0860 693 888</t>
  </si>
  <si>
    <t>The Africa Finance Corporation (AFC) is an independent, majority private sector owned, multi-lateral African financial institution providing project structuring expertise and risk capital with 27 member countries. AFC invests in projects that will provide substantial, measurable benefit to a region or sector in the long term and will be the template for future infrastructure investment and development. However, the Corporation also considers the short term social, economic and environmental impact. Where possible, the projects utilize local resources and suppliers and jobs are created during both construction and operational phases. AFC invests equity or quasi-equity capital in projects or companies operating in its target sectors. AFC deploys capital at the development stage of a project or to fund expansions or buy-outs of existing companies or assets. In addition, AFC provides financing to developments on a project finance basis, and to existing firms seeking expansion capital.</t>
  </si>
  <si>
    <t>Public</t>
  </si>
  <si>
    <t>The KwaZulu-Natal Growth Fund</t>
  </si>
  <si>
    <t>City of Ekurhuleni (CoE); National Empowerment Fund (NEF)</t>
  </si>
  <si>
    <t>Dr Mkhuseli Vimba</t>
  </si>
  <si>
    <t>Tel: (012) 394 1723</t>
  </si>
  <si>
    <t>Applications ADEPapps@thedti.gov.za
Claims ADEPClaims@thedti.gov.za
Enquiries ADEPcontact@thedti.gov.za; MVimba@thedti.gov.za</t>
  </si>
  <si>
    <t>&lt; R40 million</t>
  </si>
  <si>
    <t>The Aquaculture Development and Enhancement Programme (ADEP) is an incentive programme available to South African registered entities engaged in primary, secondary and ancillary aquaculture activities in both marine and freshwater classified under SIC 132 (fish hatcheries and fish farms) and SIC 301 and 3012 (production, processing and preserving of aquaculture fish). The grant is provided directly to approved applications for new, upgrading or expansion projects.
The programme offers a reimbursable cost-sharing grant of up to a maximum of R40 million qualifying costs in machinery and equipment; bulk infrastructure; owned land and/or buildings; leasehold improvements; and competitiveness improvement activities</t>
  </si>
  <si>
    <t>The Micro Agricultural Financial Institutions of South Africa (MAFISA) Scheme</t>
  </si>
  <si>
    <t>Department of National Treasury</t>
  </si>
  <si>
    <t>Public Agency</t>
  </si>
  <si>
    <t>The National Skills Fund (NSF)</t>
  </si>
  <si>
    <t>The National Skills Fund (NSF) is a public entity that was established by government in 1999 and reports to the Minister of Higher Education, Science and Technology. It is intended to finance costs directly related to the delivery of learning  and not to finance infrastructure and/or ongoing operational costs of SETAs. Aimed at employers that must have paid Skills Development levies, have a Skills Development Facilitator and follow all the rules and regulations in the Skills Development Act 97 of 1998</t>
  </si>
  <si>
    <t>Public Investment Corporation (PIC); Other (Skills Development Levies, SETA, Money appropriated by Parliament)</t>
  </si>
  <si>
    <t>Department of Science and Technology (DST); Department of National Treasury; South African Revenue Service (SARS)</t>
  </si>
  <si>
    <t>Department of Small Business Development (DSBD)</t>
  </si>
  <si>
    <t>The Department of Small Business Development (DSBD) has initiated the Shared Economic Infrastructure Facility (SEIF), a sub-programme of the Black Business Support Development Programme (BBSDP) aimed at assisting black-owned small enterprises in improving their competitiveness and sustainability, in order to become integrated into the main economySEIF is a 50:50 cost-sharing grant made available on a reimbursable basis, where the dti contributes 50% towards qualifying infrastructure projects upon the completion of agreed project milestones. The dti’s contribution is capped at a maximum grant of R5 million (vat inclusive) per qualifying applicant.  Eligible enterprises include municipality of RSA, local municipal as defined in Local Government Municipal Systems Act and provincial government entity</t>
  </si>
  <si>
    <t>Manufacturing Competitiveness Enhancement Programme (MCEP) Industrial Financing Loan Facilities</t>
  </si>
  <si>
    <t xml:space="preserve">Enquiries: bienquiries@thedti.gov.za
Applications Submissions: biapplications@thedti.gov.za
</t>
  </si>
  <si>
    <t>T:0861843384</t>
  </si>
  <si>
    <t xml:space="preserve">Unlocks industrial potential through targeted and financial and non-financial interventions, described in the IPAP and other government policies. The BIS offers a cost-sharing grant ranging from 30% to 50% to approved entities to a maximum of R50 million. The quantum of the grant will depend on the level of black ownership and management control, the economic benefit of the project and the project value. The BIS offers support on a cost-sharing basis towards: capital investment costs; feasibility studies towards a bankable business plan (to the maximum of 3% of projected investment project cost); post-investment support (to the maximum of R500 000); business development services (to the maximum of R2 million). The maximum grant of R50 million may be fully utilised on capital investments or can be split between capital investment and other support measures (i.e. investment support, business development services and working capital).
</t>
  </si>
  <si>
    <t>&lt;R50 million</t>
  </si>
  <si>
    <t>&lt; R15 million (VAT inclusive)</t>
  </si>
  <si>
    <t>Capital Projects Feasibility Programme</t>
  </si>
  <si>
    <t>&lt; R8 million</t>
  </si>
  <si>
    <t>&lt; R50 million</t>
  </si>
  <si>
    <t xml:space="preserve">A reimbursable 80:20 cost-sharing grant offering financial support to for-profit export councils, joint action groups and industry associations. The scheme comprises three sub-programmes, namely:
Generic Funding 
Project Funding
Project Funding for the Emerging Exporters </t>
  </si>
  <si>
    <t>Integrated Demand Management (IDM) Programme</t>
  </si>
  <si>
    <t>State-owned Enterprise</t>
  </si>
  <si>
    <t>The Green Energy Efficiency Fund is the result of a partnership between the IDC and the German Development Bank (KfW) to fund energy efficiency and self-use renewable energy projects. The facility, R500 million in size is only open to businesses registered and operating in South Africa for equipment and technologies across a range of sectors. Aimed at private entities. Loans are available from R1 million to R50 million at prime less 2% in this programme. The payback period of the investment can be up to 15 years</t>
  </si>
  <si>
    <t>R1 million - R50 million</t>
  </si>
  <si>
    <t>DFI</t>
  </si>
  <si>
    <t>German Development Bank (KfW)</t>
  </si>
  <si>
    <t>Department of Trade and Industry (dtic); Department of Tourism (DoT)</t>
  </si>
  <si>
    <t>Various</t>
  </si>
  <si>
    <t>Various: Department fo Trade and Industry (dtic); Department of Science and Innovation (dsi); German Federal Ministry of Economic Cooperation and Development (BMZ)</t>
  </si>
  <si>
    <t>Government; DFI; Commercial; Other</t>
  </si>
  <si>
    <t>Various: The Department of Small Business Development (DSBD); Industrial Development Corporation (IDC); Glencore; ABSA Bank; Mining Council of South Africa; Eskom Enterprises; KZN EDTEA; Free State Department of Economic Development, Small Business, Tourism and Environmental Affairs (DESTEA); Mangaung Metropolitan Municipality; Free State Development Corporation (FDC); Gert Sibande District Municipality; Anonymous donor funding</t>
  </si>
  <si>
    <t>Government Employees Pension Fund (GEPF); Unemployment Insurance Fund (UIF); Compensation Commissioner Fund (CC); Compensation Commissioner Pension Fund (CP); Associated Institutions Pension Fund (AIPF)</t>
  </si>
  <si>
    <t>Other</t>
  </si>
  <si>
    <t>Industrial Development Corporation (IDC); Department of Small Business Development (DSBD)</t>
  </si>
  <si>
    <t>12L EE Tax Incentive</t>
  </si>
  <si>
    <t>Department of Mineral Resources and Energy (DMRE); European Union; World Bank; GIZ; UNIDO; DFID</t>
  </si>
  <si>
    <t>Government; DFI</t>
  </si>
  <si>
    <t>Department of Science and Innovation (dsi)</t>
  </si>
  <si>
    <t>NGO</t>
  </si>
  <si>
    <t>Other- The Eskom IDM programme is ratepayer-funded</t>
  </si>
  <si>
    <t>14 donor countries: Australia; Canada; Denmark; France; Germany; Japan; South Korea; Netherlands; Norway; Spain; Sweden; Switzerland; UK; USA</t>
  </si>
  <si>
    <t>Bilateral DFI</t>
  </si>
  <si>
    <t>French Development Agency (AFD);  The State Secretariat for Economic Affairs in Switzerland (SECO)</t>
  </si>
  <si>
    <t>Industrial Development Corporation (IDC); South Africa National Energy Development Institution (SANEDI)</t>
  </si>
  <si>
    <t>National DFI; Public Agency</t>
  </si>
  <si>
    <t>Foreign, Commonwealth &amp; Development Office (FDCO) (formerly Department for International Development (DFID))</t>
  </si>
  <si>
    <t>Various, inculding: Department of National Treasury; Industrial Development Corporation (IDC); African Development Bank (AfDB); World Bank Group's Multilateral Investment Guarantee Agency (MIGA); Standard Chartered Bank of the United Kingdom (SCB-UK)</t>
  </si>
  <si>
    <t>Government; DFI; Commercial</t>
  </si>
  <si>
    <t>Eastern Cape Provincial Government Department of Economic Development, Environmental Affairs and Tourism</t>
  </si>
  <si>
    <t>Eastern Cape Department of Rural Development and Agrarian Reform</t>
  </si>
  <si>
    <t>Free State Provincial Government Department of Economic, Small Business Development, Tourism and Environmental Affairs (DESTEA); Industrial Development Corporation (IDC)</t>
  </si>
  <si>
    <t>Gauteng Provincial Department of Economic Development</t>
  </si>
  <si>
    <t>Ithala SOC Limited</t>
  </si>
  <si>
    <t>Ithala Development Finance Corporation Ltd</t>
  </si>
  <si>
    <t>Parastatal DFI</t>
  </si>
  <si>
    <t>Mpumalanga Department of Economic Development and Tourism</t>
  </si>
  <si>
    <t>Norfund; Rabobank; Netherlands Development Finance Company (FMO); NorFinance</t>
  </si>
  <si>
    <t>Bilteral DFI; Commercial</t>
  </si>
  <si>
    <t>Venture Capital</t>
  </si>
  <si>
    <t>Department of Environment, Forestry &amp; Fisheries (DEFF)</t>
  </si>
  <si>
    <t>Infrastructure Investment Programme for SA (IIPSA)</t>
  </si>
  <si>
    <t>Government of South Africa; European Union</t>
  </si>
  <si>
    <t>European Union; GIZ</t>
  </si>
  <si>
    <t>Development Bank of South Africa (DBSA); South South North</t>
  </si>
  <si>
    <t>The Energy and Environment Partnership Trust Fund (EEP Africa)</t>
  </si>
  <si>
    <t>Nordic Development Fund (NDF)</t>
  </si>
  <si>
    <t>Austria; Finland; NDF</t>
  </si>
  <si>
    <t>EU Member States</t>
  </si>
  <si>
    <t>Member States</t>
  </si>
  <si>
    <t>German  Federal Ministry for Economic Cooperation and Development</t>
  </si>
  <si>
    <t>The Danish Climate Investment Fund (KIF)</t>
  </si>
  <si>
    <t>The Danish Investment Fund for Developing Countries (IFU)</t>
  </si>
  <si>
    <t>World Bank</t>
  </si>
  <si>
    <t>Governments of Denmark, USA, UK, Italy, Norway, Spain, and Sweden</t>
  </si>
  <si>
    <t>Small Grants Programme (GEF SGP)</t>
  </si>
  <si>
    <t>FNB</t>
  </si>
  <si>
    <t>Rand Merchant Bank (RMB)</t>
  </si>
  <si>
    <t>Nedbank</t>
  </si>
  <si>
    <t>Business ecoEnergy Loan</t>
  </si>
  <si>
    <t>The Emerging Africa Infrastructure Fund (EAIF)</t>
  </si>
  <si>
    <t>Infrastructure Finance</t>
  </si>
  <si>
    <t>Nedbank Smart Living Solutions</t>
  </si>
  <si>
    <t>Nedbank Energy Finance</t>
  </si>
  <si>
    <t xml:space="preserve">FNB offers a Business ecoEnergy Loan to customers looking to invest in upgrading their businesses to becoming energy efficient and help reduce their operating costs. It offers customers a minimum loan amount of R2 000, and a maximum amount of R1 000 000 (subject to affordability) over payment term of between 1-5 years. Repayments can be made via debit order from your Business Cheque Account. Interest rates are linked to the prime rate with an amortising capital balance.
</t>
  </si>
  <si>
    <t>The Emerging Africa Infrastructure Fund (EAIF) is a public private partnership managed and advised by NinetyOne.  It mobilises capital from public and private sources to lend to businesses creating, improving or expanding infrastructure in sub-Saharan Africa. EAIF provides long-term debt on commercial terms to infrastructure projects in Africa. The Fund lends to infrastructure projects mainly owned, managed and operated by private sector businesses and operates in 48 countries. Project promoters can be wholly owned in Africa, joint ventures with other African or non-African businesses, or international businesses expanding in Africa or entering African markets for the first time. EAIF are able to lend between US$ 10 million to US$ 50 million, typically over 15 years, with a possibility on a case by case basis to lend up to 20 years. The Fund is also able to lend in EUROS. EAIF's loan products include: Project loans and corporate loans of between US$10 million and US$50 million; Senior debt; Subordinated and/or mezzanine debt; Loans in US$ or €, loan periods of up to 20 years; Local currency loans possible in certain circumstances; Anchor or cornerstone investor in bond issues; Bridging finance</t>
  </si>
  <si>
    <t>RMB's Infrastructure Finance team provides advisory and funding solutions. Core services include: Arranging and underwriting senior and mezzanine finance (including inflation-linked debt), on a non-recourse or on-balance sheet basis;
Financial advisory services to private companies, consortia and governments;
Equity investments in infrastructure projects and infrastructure-enabling organisations;
Financing the import and export of capital goods and services across Africa with export credit agencies;
Equity gearings through debt or preference share structures;
Arranging, structuring and underwriting asset-backed financing structures, including operating leases, finance leases, senior debt, junior debt and equity tranches for movable assets, including rolling stock, yellow metal and industrial equipment</t>
  </si>
  <si>
    <t>Nedbank offers a Smart Living Solutions service through Nedbank Home Loans to the residential market looking to install energy efficient technologies and solutions through their accredited suppliers. Typical solar solutions include: water heaters; heat pumps and tanks;  LED lights; solar PV panels and inverters; lithium-ion and lead crystal batteries. Smart Living Solutions customers gain discounts on selected energy solutions with an unchanged interest rate. Eligible applicants include existing Nedbank clients who live in Gauteng and Western Cape with access to their loan accounts. The accessible amount must be more than R25 000.</t>
  </si>
  <si>
    <t>Nedbank offers financing options through the Energy Project and Umbrella Embedded Generation Financing vehicle. In addition to capital injections, Nedbank provide transactional banking, hedging facilities, agency facilities, project finance, acquisition finance, embedded-energy finance (corporate and industrial offtake), letters of credits and working-capital facilities, structured financial products and preference-share funding to support equity investments. Nedbank has financing tools to bank the construction companies building the renewable energy plants. Energy Finance provides financial solutions for projects ranging from large-scale, centralized utility power generation to small-scale, off-grid power solutions and support for contractors across the power value chain.</t>
  </si>
  <si>
    <t>A minimum loan amount of R2 000, and a maximum amount of R1 000 000 (subject to affordability)</t>
  </si>
  <si>
    <t>Project loans and corporate loans of between US$10 million and US$50 million</t>
  </si>
  <si>
    <t>Debt; Rebate</t>
  </si>
  <si>
    <t xml:space="preserve">Enquiries related to the renewable and sustainable technologies should be directed to Energy Partners at Info.nedbank@energypartners.co.za.
All finance-related enquiries should be directed to Nedbank at ClientFeedback@Nedbank.co.za. </t>
  </si>
  <si>
    <t>Amith Singh</t>
  </si>
  <si>
    <t>27 21 901 1000</t>
  </si>
  <si>
    <t>AmithS@Nedbank.co.za</t>
  </si>
  <si>
    <t>T:270875759479</t>
  </si>
  <si>
    <t>eaif@ninetyone.com</t>
  </si>
  <si>
    <t xml:space="preserve">Energy Partners: Info.nedbank@energypartners.co.za.
Nedbank: ClientFeedback@Nedbank.co.za. </t>
  </si>
  <si>
    <t>T: +27 (0) 10 234 8745</t>
  </si>
  <si>
    <t>https://www.fnb.co.za/commercial-banking/finance/business-loans/ecoEnergyLoan.html</t>
  </si>
  <si>
    <t>https://www.eaif.com/</t>
  </si>
  <si>
    <t>https://www.rmb.co.za/solution/infrastructure-finance</t>
  </si>
  <si>
    <t>https://www.nedbank.co.za/content/nedbank/desktop/gt/en/info/campaigns/home-loans-smart-living-solutions.html#About</t>
  </si>
  <si>
    <t>https://www.nedbank.co.za/content/nedbank/desktop/gt/en/corporates/financing/infrastructure-energy-and-telecomms.html</t>
  </si>
  <si>
    <t>Commercial Bank</t>
  </si>
  <si>
    <t>ABSA</t>
  </si>
  <si>
    <t>ABSA with French Development Agency (AFD) is providing funding of up to R100 million to private projects specifically aimed at driving energy efficiency or renewable energy. In addition, they are offering a 7% rebate of the total loan amount to qualifying projects, along with the expert advice and guidance of a green guru. Investment duration minimum of 3 years.</t>
  </si>
  <si>
    <t>GreenFin Financial Services</t>
  </si>
  <si>
    <t>Alternative Energy Finance</t>
  </si>
  <si>
    <t>GreenFin provides Green Energy Finance Solutions at preferential interest rates. Offers loans for solar installations with vetted suppliers for homes and SMEs with repayment terms between 12 and 60 months</t>
  </si>
  <si>
    <t>GroFin</t>
  </si>
  <si>
    <t>GroFin is a pioneering SME development financier assisting entrepreneurs and business owners to access tailored finance and experienced business support to start and grow successful businesses, creating jobs and driving socio-economic developmentFinancing and supporting small and growing businesses across Africa and the Middle East. Private development finance institution</t>
  </si>
  <si>
    <t>Investec</t>
  </si>
  <si>
    <t>Investec Power &amp; Infrastructure Finance</t>
  </si>
  <si>
    <t>Investec's Power &amp; Infrastructure Finance is an arranger and underwriter of debt for projects.  Investec also selectively develops and take equity in projects. Duration appropriate to the risk and tenor.</t>
  </si>
  <si>
    <t>Merchant West</t>
  </si>
  <si>
    <t>Finance for Solar Equipment</t>
  </si>
  <si>
    <t>(a) With suppliers of solar energy and related installations (who could, for example, introduce us to their customers who require funding, or, they themselves require short term/interim funding to acquire stock etc); 
(b)   End users/customers, who require funding for such installations.
We are looking at “smaller” type installations, with a maximum facility amount of around R25 million (funding capital and short-term requirements)</t>
  </si>
  <si>
    <t>Hans Hoheisen Charitable Trust</t>
  </si>
  <si>
    <t xml:space="preserve">As a grant maker, the Hans Hoheisen Charitable Trust facilitates the work of Public Benefit Organisations aimed at protecting, restoring and improving the sustainable use of South African species and eco-systems. </t>
  </si>
  <si>
    <t>Nedbank/WWF</t>
  </si>
  <si>
    <t xml:space="preserve">WWF Nedbank Green Trust </t>
  </si>
  <si>
    <t xml:space="preserve">The Green Trust supports programmes with a strong community-based conservation focus in multiple areas, including climate change. Innovative projects to help solve some of the greatest socio-economic environmental challenges
</t>
  </si>
  <si>
    <t>Old Mutual's Alternative Investments</t>
  </si>
  <si>
    <t>IDEAS Managed Fund</t>
  </si>
  <si>
    <t xml:space="preserve">Aims to invest in assets that are developmental in nature and which contribute to the economic upliftment of disadvantaged communities. IDEAS assets consist predominantly of investments in commercially viable development projects that aim to achieve measurable transformation objectives in South Africa and the SADC. 
</t>
  </si>
  <si>
    <t xml:space="preserve">Rand Merchant Bank </t>
  </si>
  <si>
    <t>Facility for Investment in Renewable Small Transactions (FIRST)</t>
  </si>
  <si>
    <t>FIRST offers long term loan finance to small renewable energy projects in South Africa. While our core offering focuses on projects needing funding of R50m or more, we will consider projects as small as 200kw where a different funding response is necessary. We are technology agnostic provided that we can show that the project fits broadly into the renewable sector or contributes to emission reduction.</t>
  </si>
  <si>
    <t>Sasfin</t>
  </si>
  <si>
    <t>Sasfin has secured a “green” funding line from the International Finance Corporation (a member of the World Bank Group) and the Canadian government’s Climate Change Program, to enable clients to invest in renewable and energy-efficient capital projects.</t>
  </si>
  <si>
    <t>SCF Capital Solutions</t>
  </si>
  <si>
    <t>Unsecured working capital is provided based on invoice or supply contracts. R250k - R5m is offered with interest rates ranging from 2-3% per month (capped at 24% per year).
The financing is done using Supply Chain Finance techniques and is achieved by creating a financial ecosystem that connects the SME to the key roles players in the ecosystem. And thus, finance the SME based on the strength of the ecosystem, as opposed to the balance sheet. The offering also includes SME technical and business skills development, and financing.</t>
  </si>
  <si>
    <t>Standard Bank</t>
  </si>
  <si>
    <t>Energy security has become a strategic imperative for businesses operating on the African continent, with South Africa leading the way in the development of sustainable energy solutions. The reduction in costs associated with alternative energy, and the parallel increase in electricity tariffs, has led to huge growth in the demand for alternative energy solutions from local businesses.</t>
  </si>
  <si>
    <t>State Bank of India</t>
  </si>
  <si>
    <t>Working capital finance</t>
  </si>
  <si>
    <t>Working Capital loans help a business entity for procuring inventories, managing cash flows, supporting supply chains, funding production and marketing operations etc.
SBI’s Working Capital Finance products comprise a spectrum of funded and non-funded facilities ranging from overdrafts to structured loans to meet demands from industry, trade and services sector.
-Funded facilities include overdrafts, demand loans and bills discounting.
- Non-fund based facilities comprise letters of credit, bank guarantees and forward contracts</t>
  </si>
  <si>
    <t>HSBC</t>
  </si>
  <si>
    <t>Manage cash and trade flows more efficiently. Whether your goal for improving working capital is to self-fund growth, reduce debt, expand your business reach or enhance your balance sheet – the key to success is gaining more control over cash flows. That’s why our trade and receivables finance solutions help you unlock funds trapped in inventory or receivables to keep the supply chain – and your business – moving forward. Added to this is a full range of commercial banking services designed specifically to help you manage incoming and outgoing cash more efficiently across your entire organisation.</t>
  </si>
  <si>
    <t>Debt/Rebate</t>
  </si>
  <si>
    <t>R 50 million - R 200 million</t>
  </si>
  <si>
    <t>&lt;R 150 000</t>
  </si>
  <si>
    <t>US$ 100K - US$ 1.5 million</t>
  </si>
  <si>
    <t>&lt; R 200 million</t>
  </si>
  <si>
    <t>&lt;R 25 million</t>
  </si>
  <si>
    <t>&lt; R3 million</t>
  </si>
  <si>
    <t>R 50 million - R 300 million</t>
  </si>
  <si>
    <t>Debt/Grant/Rebate</t>
  </si>
  <si>
    <t>R 250 K - R 5 million</t>
  </si>
  <si>
    <t xml:space="preserve">Overdraft </t>
  </si>
  <si>
    <t>Debt/Gurantees</t>
  </si>
  <si>
    <t>Robert Gecelter or Fazel Moosa (Investec Head Office, Sandton)</t>
  </si>
  <si>
    <t>Peter Paterson (Sales and Relationship Executive: Asset Finance)</t>
  </si>
  <si>
    <t>Jurie Swart (Head) or Makole Maponya (Portfolio Manager) or Sean Friend (Portfolio Manager)</t>
  </si>
  <si>
    <t>Zane Schalkwyk</t>
  </si>
  <si>
    <t>Candice Pretorius</t>
  </si>
  <si>
    <t>Vonani Mabunda</t>
  </si>
  <si>
    <t>info@greenfin.co.za</t>
  </si>
  <si>
    <t>http://hoheisentrust.org/contact.php</t>
  </si>
  <si>
    <t>zanes@firstfund.co.za</t>
  </si>
  <si>
    <t>086 004 0302</t>
  </si>
  <si>
    <t>086 100 0808</t>
  </si>
  <si>
    <t>011 286 7221</t>
  </si>
  <si>
    <t>021 552 7007
083 255 1364</t>
  </si>
  <si>
    <t>021  657 6600</t>
  </si>
  <si>
    <t>011 217 1737 
082 490 4809</t>
  </si>
  <si>
    <t>072 440 0043</t>
  </si>
  <si>
    <t>011 809 7861</t>
  </si>
  <si>
    <t>011 510 0080
072 062 6790</t>
  </si>
  <si>
    <t xml:space="preserve">087 720 1287 </t>
  </si>
  <si>
    <t>011 676 4200</t>
  </si>
  <si>
    <t>https://greenfin.co.za/</t>
  </si>
  <si>
    <t>https://firstfund.co.za/</t>
  </si>
  <si>
    <t>https://www.cashflowcapital.co.za/</t>
  </si>
  <si>
    <t>Acorn Private Equity</t>
  </si>
  <si>
    <t>Acorn Agri (Pty) Ltd</t>
  </si>
  <si>
    <t>Revego Africa Energy</t>
  </si>
  <si>
    <t>The Revego Energy Fund</t>
  </si>
  <si>
    <t>ARCH Emerging Markets Partners</t>
  </si>
  <si>
    <t>Africa Renewable Power Fund (ARPF)</t>
  </si>
  <si>
    <t>African Infrastructure Investment Managers (Pty) Ltd</t>
  </si>
  <si>
    <t>Metier Sustainable Capital</t>
  </si>
  <si>
    <t>Metier Sustainable Capital Fund II</t>
  </si>
  <si>
    <t>Acorn is a specialist private equity fund manager and investment advisor focused exclusively on Sub-Saharan Africa. Acorn specialises in two main areas of investment: The food and agri sector; Small and Medium Enterprises (SMEs). Acorn invests through Limited Liability Partnerships as well as an investment holding company, Acorn Agri. Acorn Agri invests in mid-cap businesses that display a sustainable competitive advantage, a scalable business position, capability set or product portfolio or brand in Southern African countries with investment offers ranging from R50mil - R750 mil.</t>
  </si>
  <si>
    <t>Revego is an equity fund managed by Revego Fund Managers (Pty) Ltd with a mandate to invest equity into the renewable energy sector and energy projects in sub-Saharan Africa. The fund will target equity investments in the electricity sector in sub-Saharan Africa with a mix of proven technologies across generation, transmission and distribution projects, and have no more than 10% of the portfolio value invested in projects that are either under construction or in development. The fund permits entering into short term borrowings to finance acquisitions, which must be repaid within 12 months from capital raisings or from cash received, but will be limited to 30% of the portfolio value.</t>
  </si>
  <si>
    <t>ARCH is an emerging markets investment advisory firm specialising in private equity opportunities with an initial focus on energy and logistics in developing economies, and is regulated in the UK by the Financial Conduct Authority. ARCH is a partnership between African Rainbow Capital and JCH &amp; Partners managing the private equity Africa Renewable Power Fund (ARPF) as a dedicated African renewable energy fund. ARPF offers equity investment to develop and finance new Commercial &amp; Industrial (C&amp;I) solar assets and financing for start-up companies in the energy sector.</t>
  </si>
  <si>
    <t>African Infrastructure Investment Managers (AIIM) is a private equity infrastructure investment firm that invests in a range of projects across Africa. The AIIM IDEAS Fund is an infrastructure equity fund which invests in economic infrastructure (roads and railways), social infrastructure (housing and public private partnerships) and renewable energy infrastructure (solar and wind projects) in the SADC region</t>
  </si>
  <si>
    <t>The Metier Sustainable Capital Fund II is a private equity fund investing in clean energy generating assets and resource efficiency projects and businesses across Africa</t>
  </si>
  <si>
    <t>R50m – R750m</t>
  </si>
  <si>
    <t>Michael Meeser</t>
  </si>
  <si>
    <t>Tel: +27 (0)21 852 2887</t>
  </si>
  <si>
    <t>T +27 11 217 1000</t>
  </si>
  <si>
    <t>info@acorn.co.za</t>
  </si>
  <si>
    <t>InvestorRelations@Revego.co.za</t>
  </si>
  <si>
    <t>info@aiimafrica.com</t>
  </si>
  <si>
    <t>www.acornequity.com</t>
  </si>
  <si>
    <t>https://revegoenergy.com/</t>
  </si>
  <si>
    <t>https://www.archempartners.com/</t>
  </si>
  <si>
    <t>https://aiimafrica.com/</t>
  </si>
  <si>
    <t>Private Equity</t>
  </si>
  <si>
    <t>Actis</t>
  </si>
  <si>
    <t>Adlevo Capital</t>
  </si>
  <si>
    <t>Atlantic Asset Management</t>
  </si>
  <si>
    <t>Business Partners</t>
  </si>
  <si>
    <t>Inspired Evolution</t>
  </si>
  <si>
    <t>Persistent Energy Capital  (PEC)</t>
  </si>
  <si>
    <t>Senatla Capital</t>
  </si>
  <si>
    <t>TBI</t>
  </si>
  <si>
    <t>Treacle Private Equity</t>
  </si>
  <si>
    <t>TriVest</t>
  </si>
  <si>
    <t xml:space="preserve">UFF African Agri Investments </t>
  </si>
  <si>
    <t>Private Financing Advisory Network (PFAN)</t>
  </si>
  <si>
    <t>Actis is a global platform offering a multi-asset strategy through the asset classes of private equity, energy, infrastructure and real estate. Our Energy funds invest in and aggregate energy assets into scalable regional generation platforms, targeting attractive risk-adjusted returns. The certainty of long term, contracted cash flow protects the downside of these investments. In addition to generation we invest in high growth monopoly distribution platforms where electricity is in scarce supply. </t>
  </si>
  <si>
    <t>"Adlevo Capital is the first private equity firm focused on investments into technology-enabled companies across sub-Saharan Africa. We are a Mauritius-based private equity fund manager founded on the belief that meaningful development in sub-Saharan Africa will be driven by the application of technology to business processes across all sectors. Available to the private sector and Adlevo Capital maintains active local presence through its base in Lagos, Nigeria."</t>
  </si>
  <si>
    <t>"Atlantic Asset Management provides debt funding to intermediaries and SMEs that have high levels of job creation and that contribute to the communities in which they work. Typically to provide expansion capital to established businesses. Intermediaries or businesses creating new jobs with a record less than 5 years. Investment range of R15m-R60m with a duration of 3-5years."</t>
  </si>
  <si>
    <t xml:space="preserve">"Business Partners is a viability-based risk financing company for formal small and medium-sized businesses in South Africa, and does not have the same security requirements that commercial banks do." The company invests between R250 000 and R15 million in SMEs across all sectors, with the exception of farming, on-lending and non-profit organisations.
Guide to writing a business found on the knowledge hub on the website. Finance enquiries can be made online.
Excludes: On-lending activities, direct farming operations, underground mining and non-profit organisations. </t>
  </si>
  <si>
    <t>Evolution One fund, managed by Inspired Evolution from the is a private equity fund providing equity financing to innovative projects on the clean energy (private or public) and clean technologies sectors in the Southern African Development Community. 
Fund size: Evolution One Fund + Evolution II (under development): R1bn + R2.5bn.
"Inspired Evolution is a specialised investment management business and authorised financial services provider located principally in South Africa. Inspired Evolution offers a dedicated team with a deep global track record positioned to lead clean energy and resource efficiency investments across sub-Saharan Africa."
Evolution Fund aims to invest across clean energy generation, energy efficiency,
cleaner production techniques, emissions control, water and waste management,
agribusiness and forestry and environmentally-friendly real estate</t>
  </si>
  <si>
    <t>"Persistent Energy Capital (PEC) focuses on providing off-grid households with access to basic energy services: electric light, mobile phone charging, fans, radios, TV and Internet.  PEC has invested in and incubated businesses with a commercial approach to providing such as energy services to low-income customers in sub-Saharan Africa.  PEC also provides financial and strategic advice to investors, governments and others participating in the development of distributed renewable energy sector. Aimed at private sector and community based organisations."</t>
  </si>
  <si>
    <t>"Senatla Capital is the general partner and manager of various private equity funds.  It also manages on balance sheet investments that do not fall within its private equity funds’ mandates. The primary investment strategies pursued in its funds are Growth Capital, Black Economic Empowerment (“BEE”) Secondaries and Mezzanine Debt/Equity Risk Capital. Raising for 3rd fund, R50m per deal, fund size: R750m – R1bn, Fund period: 7 years
Growth – direct equity. Min 25%. 50% of fund. BEE secondary – invest in underlying vehicle at discount (40%). Mezzanine – fund BEE investors in their equity participation. Strong BS, predictable cashflow, good security (10%)."</t>
  </si>
  <si>
    <t>TBI is a South African alternative investment and fund management group holding company -the business consists of a number of direct investments in fund management and related associates (Awande Investment Managers, Bridge Capital and TBI Investment Managers), and three core investment portfolios.
We offer equity holders in renewable energy independent power producer procurement (REIPPP) projects, financing or refinancing where they have existing debt. In order to partially realise capital committed to these REIPPP projects, we have secured the participation of Credit Suisse as the provider of funding for this initiative, on an exclusive basis.</t>
  </si>
  <si>
    <t>"Treacle provides equity capital to mid-market private and small cap listed companies in Southern Africa. Equity capital to mid-market private and small cap listed companies in Southern Africa.</t>
  </si>
  <si>
    <t>"TriVest is a leading provider of equity for growth capital financings, middle market corporate acquisitions and recapitalizations. Since its founding, TriVest has experienced a huge demand for capital in the early stage sector in Southern Africa, where innovative early-stage and start-up companies often lack the financial, managerial and network resources for expansion and growth."</t>
  </si>
  <si>
    <t>"We combine commercial Agri-Investment and sustainability on the African continent, providing investors with a compelling risk/return profile.  We are proud to be associated with Cape Town based leading asset management businesses, Old Mutual Investment Group and Futuregrowth Asset Management. Within South Africa, our approach, which is currently under review, has historically been to acquire farmland and select or recommend a skilled operator for that farm, as well as facilitating finance for development. Productivity on the farm is improved and the farm is leased to the appointed operator. In the other African selected countries in which we operate, land tenure often takes the form of a lease. We typically co-invest into the farming operations as well as being the leaseholder. 
Through this flexible approach, the Fund may generate profits from a combination of capital gain, lease income and profit share. At the end of the mandated fund term, the farm may be rolled into a new fund, purchased by the operator, or sold to a third party, subject to a due diligence process which includes consideration of that third party’s commitment to environmental and social performance."</t>
  </si>
  <si>
    <t>Assists in capital raising for project development (among other project development services).
Open-ended call for Proposals for Climate &amp; Clean Energy Projects in Sub-Saharan Africa and Asia</t>
  </si>
  <si>
    <t>R 15 million - R 60 million</t>
  </si>
  <si>
    <t xml:space="preserve">R250 000 - R15 million </t>
  </si>
  <si>
    <t>R 1 billion - R1.5 billion</t>
  </si>
  <si>
    <t>R 750 million - R 1 billion</t>
  </si>
  <si>
    <t>Technology</t>
  </si>
  <si>
    <t>-</t>
  </si>
  <si>
    <t>Christopher Clarke</t>
  </si>
  <si>
    <t>Thato Tsotetsi</t>
  </si>
  <si>
    <t>N/A</t>
  </si>
  <si>
    <t>info@act.is</t>
  </si>
  <si>
    <t>info@atlanticam.com</t>
  </si>
  <si>
    <t>info@tbi.co.za</t>
  </si>
  <si>
    <t>info@uff.co.za</t>
  </si>
  <si>
    <t>021 418 7801</t>
  </si>
  <si>
    <t>011 713 6600</t>
  </si>
  <si>
    <t>021 702 1290</t>
  </si>
  <si>
    <t>011 784 5929</t>
  </si>
  <si>
    <t>021 948 0322</t>
  </si>
  <si>
    <t>+27 (0) 21 421 2129</t>
  </si>
  <si>
    <t>https://www.act.is/</t>
  </si>
  <si>
    <t>http://tbi.co.za</t>
  </si>
  <si>
    <t>GreenTec Capital Partners</t>
  </si>
  <si>
    <t>GreenTec Capital</t>
  </si>
  <si>
    <t>Acumen</t>
  </si>
  <si>
    <t>Acumen Fund</t>
  </si>
  <si>
    <t>Kingson Capital</t>
  </si>
  <si>
    <t>Kingson Fund I; Kingson Fund II</t>
  </si>
  <si>
    <t>GreenTec Capital Partners invests in African start-ups and SMEs with a focus on combining social and environmental impact with financial success. GreenTec looks at investing in early-stage proof of concept companies with operations in sub-Saharan Africa with a focus on impact and sustainable development goals. GreenTec offers individually-tailored operational support packages, designed around mutually agreed Key Performance Indicators (KPIs). Each KPI is connected to company development and funding goals within a growth strategy toward additional and sustainable value creation.</t>
  </si>
  <si>
    <t>Acumen is a non-profit impact investment fund and global organization that invests philanthropic or patient capital into early-stage companies whose products and services enable the poor to transform their lives. The patient capital Acumen provides is accompanied by a wide range of management support services nurturing the company to scale. Acumen prioritizes investments in agriculture, education, clean energy and healthcare, but also includes water, sanitation and housing.</t>
  </si>
  <si>
    <t>Kingson Capital is a Section 12J registered venture capital company that invests in South African-based start-ups with recurring revenue streams (not ideation/prototypes) with potential to scale throughout Africa and the US market through equity deals. Kingson Capital focuses on investments that prioritise the commoditisation of data including  technologies that protect the environment through Smart Spaces &amp; Sensor Technology. Kingson Capital will raise $100 Million through Kingson Fund II to focus on high growth tech-assets and black owned SME’s</t>
  </si>
  <si>
    <t>Typical commitments of patient capital for an enterprise range from $300,000 to $2,500,000 in equity or debt with payback or exit in roughly seven to ten years.</t>
  </si>
  <si>
    <t>Gavin Reardon</t>
  </si>
  <si>
    <t>germany@greentec-capital.com</t>
  </si>
  <si>
    <t xml:space="preserve">gavin@kingsoncapital.com
</t>
  </si>
  <si>
    <t>T +1 (212) 566-8821</t>
  </si>
  <si>
    <t>278-234-08633</t>
  </si>
  <si>
    <t>https://greentec-capital.com/</t>
  </si>
  <si>
    <t>https://acumen.org/</t>
  </si>
  <si>
    <t>https://kingsoncapital.com/</t>
  </si>
  <si>
    <t>4Di Capital</t>
  </si>
  <si>
    <t>4Di Capital Fund I</t>
  </si>
  <si>
    <t>4Di Exponential Tech Fund I</t>
  </si>
  <si>
    <t>AngelHub Ventures</t>
  </si>
  <si>
    <t>AHV  Fund 1</t>
  </si>
  <si>
    <t>Edge Growth</t>
  </si>
  <si>
    <t>Goodwell Investments</t>
  </si>
  <si>
    <t>uMunthu Inclusive Growth Investment Fund</t>
  </si>
  <si>
    <t>HassoPlattner Ventures Africa</t>
  </si>
  <si>
    <t>Village Capital</t>
  </si>
  <si>
    <t>Technology Venture Capital Fund (TVC)</t>
  </si>
  <si>
    <t xml:space="preserve">4Di Capital is an independent venture capital fund manager based in South Africa’s “Silicon Cape”, specialising in high-growth technology venture opportunities, at the seed, early-and growth-funding stages. The fund manager has offices in Cape Town, South Africa and Atlanta, Georgia, U.S.A. The 4Di Capital Fund I is 4Di Capital's first fund and opened in 2011 as a general early-stage technology venture capital fund. Launched during the very early stages of the nascent and growing start-up ecosystem in South Africa, the fund is now fully invested. venture capital fund manager based in Cape Town, South Africa, which specialises in the Southern and Eastern Africa region. </t>
  </si>
  <si>
    <t>The 4Di Exponential Tech Fund I is 4Di Capital’s second fund and opened in 2016 with Momentum Metropolitan Holdings (MMH) as the anchor LP.
The fund’s mandate includes seed, early- and growth- stage investments into South African and African scalable technology opportunities in the broader general wellness, FinTech, InsurTech and HealthTech verticals, particularly those with ambitions to scale their operations into international markets</t>
  </si>
  <si>
    <t>Angel Hub Ventures invest in highly scalable businesses with strong leadership, customer traction, a viable business model &amp; an executable business plan. Considering the early stage of the ventures it invests in, they usually take a meaningful minority equity stake. The cash goes straight into the business, they do not buy founders out – and always invest in the holding company where the intellectual property lies. The first round investments range from 1 to 10 million Rand. All investments are milestone based and they have the ability to provide follow on funding. Angel seed fund investing into lean startups with disruptive business models and technologies. Highly scalable ventures, not capital intensive, disrupting existing business models based on a lean methodology. Capital intensive models and  property. R500k-R5m</t>
  </si>
  <si>
    <t>Edge Growth has two funds which would be in a position to fund Green projects, which typically provide  growth funding to SMMEs that have high levels of job creation. 
R1 million - R 20 million; 5-7yrs. SMEs that have limited equity or don't qualify for credit from a bank.  Ideally post-revenue with &lt;R10m EBITDA.</t>
  </si>
  <si>
    <t>Goodwell has recently launched uMunthu, a new EUR 100m fund for Sub-Saharan Africa, that will invest in financial inclusion, agribusiness and other inclusive growth sectors with a heavy focus on the digital economy. uMunthu’s goal is to fuel the growth and improve the outreach of inclusive businesses involved in water and sanitation, agriculture, energy, or health. It is founded on the principal belief that broadening access to basic goods and services such as financial services, energy, housing, healthcare, education, clean drinking water or sanitation facilities for underserved groups in society contributes to long-term, sustainable development. The company will provide patient risk capital and active guidance and support enhancing the development and scale up of investees. Half of the fund investments will be in the financial inclusion sector whilst the other half will be in SME’s providing basic products and services.</t>
  </si>
  <si>
    <t>We actively provide venture capital and growth funding through our first fund of €39m. We invest in innovative technology companies with a proven track record of growth and a business model that is substantiated by the generation of historical revenue. Besides innovative technology and growth, we also seek to find companies that are managed by like-minded skilled individuals who understand what it takes to build and exit a global business. Venture capital/growth funding</t>
  </si>
  <si>
    <t xml:space="preserve">Fund supported by Impact Programme aims to accelerate the flow of capital to early stage companies. Provides early-stage support and funding to entrepreneurs 
(similar to an incubator / accelerator). Enterpsises that agri-value chain problems </t>
  </si>
  <si>
    <t>TVC is a fund established by the dti and managed by IDC which provides business support and seed capital for the commercialisation of innovative products, processes and technologies. TVC aims to increase the number of economically-productive companies in SA, and thus contribute to economic growth and international competitiveness through innovation and technological advancement.</t>
  </si>
  <si>
    <t>R 500K - R 5 million</t>
  </si>
  <si>
    <t>R1 million - R 20 million</t>
  </si>
  <si>
    <t>Rosalie Seriese</t>
  </si>
  <si>
    <t>Richard Rose (Vumela Fund)</t>
  </si>
  <si>
    <t>010 001 3715</t>
  </si>
  <si>
    <t>021 4475949</t>
  </si>
  <si>
    <t>021 417 6520</t>
  </si>
  <si>
    <t>SEED UNO</t>
  </si>
  <si>
    <t>SEED Finance: SEED Grants</t>
  </si>
  <si>
    <t>Mondi</t>
  </si>
  <si>
    <t>Mondi Zimele</t>
  </si>
  <si>
    <t>Anela Agri Enterprise Development Fund</t>
  </si>
  <si>
    <t>Old Mutual</t>
  </si>
  <si>
    <t>Masisizane Fund</t>
  </si>
  <si>
    <t>Enterprise Development Programme (by NPO sector)</t>
  </si>
  <si>
    <t>Enterprise Development Programme (by private sector)</t>
  </si>
  <si>
    <t>SEED Grants support eco-inclusive enterprises and aspiring entrepreneurs who have successfully participated in select SEED Enterprise Support programmes to finance their immediate necessary activities, measures or machinery while they start-up or scale-up their activities. All SEED Grants are advertised and dispersed via the SEED Platform.</t>
  </si>
  <si>
    <t>Mondi Zimele is the small business development arm of Mondi Ltd in SA. Mondi Zimele adds value through making available equity, loans and business development support to employment creating small businesses within the Mondi value chain and surrounding communities by providing financial support and skills transfer to emerging forestry growers.</t>
  </si>
  <si>
    <t>The Anela Agri Enterprise Development Fund provides loan funding at prime less 5% to Grassroots capital which lends to end beneficiaries at prime less 2%, retaining 3% of the loan funding for its costs and risks taken. Prescient Investment Management (Cape Town), a registered financial services provider, administers and manages the fund. AEEI has contributed financial assistance and technical support. Anela Capital (Pty) Ltd has been appointed as the Consultant to the Fund. The Fund focuses on the South African agricultural sector, with a specific emphasis on providing funding to emerging black farmers.</t>
  </si>
  <si>
    <t>The Masisizane Fund is a non-profit funding entity providing enterprise development to small, medium and micro enterprises (SMME's), via loan financing and business support. The fund focuses on the establishment of SMMEs, Franchises and Agro-processing across black women, youth, and people with disabilities with a focus on growing clusters of co-operatives and extending the value chain.</t>
  </si>
  <si>
    <t>Debt; Grants</t>
  </si>
  <si>
    <t>Grant funding: Between R500K – R2 million.
Grant funding requests &lt; R500K will be considered on a case-by-case basis.</t>
  </si>
  <si>
    <t>Rest Kanju: National Coordinator</t>
  </si>
  <si>
    <t>27 12 844 0135</t>
  </si>
  <si>
    <t>Hilton:  (033) 329 5506; Richards Bay: (035) 902 2624; Piet Retief: (017) 824 8054</t>
  </si>
  <si>
    <t>T+27 82 458 4916 | +27 701 0157</t>
  </si>
  <si>
    <t>27 (0)11 779 9400</t>
  </si>
  <si>
    <t>southafrica@seed.uno</t>
  </si>
  <si>
    <t>Info.Mondizimele@mondigroup.com</t>
  </si>
  <si>
    <t>info@anela.co.za</t>
  </si>
  <si>
    <t>MasisizaneEnquiries@oldmutual.com</t>
  </si>
  <si>
    <t>https://seed.uno/programmes/ecosystem-building/finance</t>
  </si>
  <si>
    <t>http://www.mondizimele.co.za/index.html</t>
  </si>
  <si>
    <t>https://www.anela.co.za/</t>
  </si>
  <si>
    <t>https://ww3.oldmutual.co.za/masisizane/about.html</t>
  </si>
  <si>
    <t>Anglo American</t>
  </si>
  <si>
    <t>Zimele</t>
  </si>
  <si>
    <t>Khula Enterprise Finance</t>
  </si>
  <si>
    <t>Khula/Fabvest Investment Holdings</t>
  </si>
  <si>
    <t>Small Business Growth Trust Fund</t>
  </si>
  <si>
    <t>Khula/Metropolitan Life Limited/The Median Fund (Pty) Ltd</t>
  </si>
  <si>
    <t>Enablis Acceleration Fund</t>
  </si>
  <si>
    <t>Thi is a multi-purpose programme supports small and medium enterprises and supplier development, facilitating entrepreneurial opportunities and the subsequent creation of jobs in communities located in the vicinity of Anglo American Mines. The fund assists entrepreneurs with seed and working capital through loan finance of up to R1 million per project at preferential interest rates. Beneficiaries must operate in Anglo’s business unit areas and comply with the black economic empowerment (BEE) criteria set by the Mining Charter. While the fund assists micro enterprises with seed and working capital, the hubs extend a guiding hand to entrepreneurs at walk-in centres. Businesses applying for finance must operate within 50 kilometres or within the labour sending area of an Anglo American mining operation serviced by a hub and the entrepreneur must be a member of the local community.</t>
  </si>
  <si>
    <t>"Khula Enterprise Finance Limited is an agency of the Department of Trade and Industry (DTI) established in 1996 to facilitate access to finance for SMMEs. It is one of the funds being transferred to the Department of Economic Development. Khula provides assistance through various delivery channels. These include commercial banks, retail financial intermediaries (RFIs) and micro credit outlets (MCOs). Each RFI has to contribute towards the achievement of Khula`s developmental impact objectives, such as providing funding to SMEs which are black owned, women owned and from rural areas. Khula restricts its RFIs to on-lending a minimum of R10 000 and a maximum of R3 million per SME. "</t>
  </si>
  <si>
    <t>This non-sector specific fund is a partnership between Khula and Fabvest Investment Holdings (FABCOS).  It provides finance start-ups, expansions, bridging finance and asset based finance to qualifying SMEs, qualifying SMEs with the necessary infrastructural support and resources, fosters entrepreneurship within the SME sector and, reaches out to SMEs in priority provinces of South Africa. Fund also aims to migrates Black businesses from the informal sector to formal sector</t>
  </si>
  <si>
    <t>The Enablis Acceleration Fund is a partnership between Enablis Financial Corporation SA (Pty) Ltd and Khula Enterprise Finance Limited. It is currently capitalised at R50m. Its purpose is to improve access to early-stage funding to SMEs, reach out to SMEs in remote/rural provinces and create new sustainable jobs. SMEs that need working capital and or asset finance.</t>
  </si>
  <si>
    <t xml:space="preserve">Debt </t>
  </si>
  <si>
    <t xml:space="preserve">&lt; R 1 million </t>
  </si>
  <si>
    <t xml:space="preserve">R  10 K - R 3 million </t>
  </si>
  <si>
    <t>Lizette Moll/Henry  Synman</t>
  </si>
  <si>
    <t>083 527 2123</t>
  </si>
  <si>
    <t>012 394 5560</t>
  </si>
  <si>
    <t xml:space="preserve"> 011 421 2939</t>
  </si>
  <si>
    <t>Department of National Treasury; Provincial Government of the Western Cape; Technology Innovation Agency</t>
  </si>
  <si>
    <t>Government; Other</t>
  </si>
  <si>
    <t>Foreign, Commonwealth &amp; Development Office (FDCO) (formerly Department for International Development (DFID)); United States Agency for International Development (USAID); The Omidyar Network; The Swedish International Development Cooperation Agency; The Department for Foreign Affairs and Trade in Australia; The Department of Science and Innovation in South Africa; Global Affairs Canada; Sint Antonius Stichting; Dioraphte; Anglo American; Unilever</t>
  </si>
  <si>
    <t>Government of Australia Department of Foreign Affairs and Trade; Austrian Federal Ministry for Sustainability and Tourism; The Blue Moon Fund; The Climate and Development Knowledge Network (CDKN); The European Commission; GIZ - Deutsche Gesellschaft für Internationale Zusammenarbeit; Government of Japan Ministry of Economy, Trade and Industry; Norway Ministry of Foreign Affairs; OPEC Fund for International Development (OFID); The Swedish International Development Cooperation Agency (Sida); The Rockefeller Foundation; United States Agency for International Development (USAID)</t>
  </si>
  <si>
    <t>Government; DFI; Other</t>
  </si>
  <si>
    <t>Private</t>
  </si>
  <si>
    <t>Commercial</t>
  </si>
  <si>
    <t>Finance in Motion</t>
  </si>
  <si>
    <t>Donors; DFIs</t>
  </si>
  <si>
    <t>DFI; Other</t>
  </si>
  <si>
    <t>The Federal Ministry of the Environment, Nature Conservation and Nuclear Safety (BMU); The Government of Flanders</t>
  </si>
  <si>
    <t>Anela Capital (Pty) Ltd</t>
  </si>
  <si>
    <t>Infrastructural, Developmental and Environmental Assets Managed Fund (IDEAS Managed Fund)</t>
  </si>
  <si>
    <t>Anonymised: US-based Investors</t>
  </si>
  <si>
    <t>Corporate; Other</t>
  </si>
  <si>
    <t>Convergence Partners; Exponential Ventures; Momentum Metropolitan Holdings; SA SME Fund; Reinet Fund S.C.A., F.I.S.; E. Oppenheimer &amp; Son</t>
  </si>
  <si>
    <t>Anonymised: Angel Investors</t>
  </si>
  <si>
    <t>Anonymised: Impact investors, entrepreneurs, foundations and family offices, development finance institutions, funds-of-funds, banks, pension funds and other institutional investors</t>
  </si>
  <si>
    <t>Commercial; Other</t>
  </si>
  <si>
    <t>HP Ventures I; HP Ventures II; HP Ventures Africa; HP Ventures III</t>
  </si>
  <si>
    <t>State-owned Entity</t>
  </si>
  <si>
    <t>Department of Agriculture, Land Reform, and Rural Development (through the Land Bank)</t>
  </si>
  <si>
    <t>R1 million &lt; R5 million</t>
  </si>
  <si>
    <t>National DFI; NPC</t>
  </si>
  <si>
    <t>Sustainable Settlements Facility</t>
  </si>
  <si>
    <t>Mr. Craig Sauls</t>
  </si>
  <si>
    <t>+27 (0) 11 269 3000 / +27 (0) 11 269 3554</t>
  </si>
  <si>
    <t>Institutional Investor</t>
  </si>
  <si>
    <t>NinetyOne</t>
  </si>
  <si>
    <t>Various: International DFIs; Development Corporations; Private Companies; Private Investors</t>
  </si>
  <si>
    <t>Various: Governments; DFIs; Commercial Banks; Institutional Investors</t>
  </si>
  <si>
    <t>Governments of the United Kingdom, The Netherlands, Switzerland, and Sweden. It raises its debt capital from public and private sources, including Allianz, the global insurance and financial services company; Standard Chartered Bank;  the African Development Bank; the German development finance institution, KFW, and FMO, the Dutch development bank</t>
  </si>
  <si>
    <t>Private; Corporate</t>
  </si>
  <si>
    <t>Private (Hasson Patner); German MAN Ferrostaal</t>
  </si>
  <si>
    <t>VilCap Investments; Village Capital’s Africa Agriculture</t>
  </si>
  <si>
    <t>The IDC is investing R10-billion over the next five years through its Gro-E Scheme. It offers financial support to start-up businesses, including funding for
buildings, equipment and working capital. It also funds companies wanting to expand provided that they show an ability to create jobs and operate in various sectors. The scheme works by funding businesses at prime less 3% for loans and the Real After Tax Internal Rate of Return (RATIRR) of 5% for equity financing. A minimum of R1-million with a maximum of R1-billion per project will be allowed. Additional business support is offered through the Youth Pipeline Development Programme, which assists youth applications to become investment ready</t>
  </si>
  <si>
    <t>Industrial Development Corporation (IDC) (balance sheet)</t>
  </si>
  <si>
    <t>Government (Member States)</t>
  </si>
  <si>
    <t>The World Bank (as GEF Trustee)</t>
  </si>
  <si>
    <t>The World Bank (as GEF Trustee); United Nation Development Programme (UNDP)</t>
  </si>
  <si>
    <t>International DFI</t>
  </si>
  <si>
    <t xml:space="preserve">Parastatal DFI </t>
  </si>
  <si>
    <t>Embassy of Finland</t>
  </si>
  <si>
    <t>The Local Cooperation Fund</t>
  </si>
  <si>
    <t>Entreupreuneurial Development Bank of Netherlands (FMO)</t>
  </si>
  <si>
    <t>Building Prospects</t>
  </si>
  <si>
    <t>Agence Francaise de Developpement - AFD</t>
  </si>
  <si>
    <t>German Federal Ministry for the Environment, Nature Conservation, Building and Nuclear Safety (BMUB)</t>
  </si>
  <si>
    <t>International Climate Initiative (IKI)</t>
  </si>
  <si>
    <t>Japan Bank for International Cooperation (JBIC)</t>
  </si>
  <si>
    <t>Japan International Cooperation Agency (JICA)</t>
  </si>
  <si>
    <t>PROPARCO</t>
  </si>
  <si>
    <t>"Proparco is the private sector arm of the AFD and finances debt and equity for private firms in developing countries. Private sector development projects (energy, infrastructure, agriculture, etc)."</t>
  </si>
  <si>
    <t>United Kingdom Foreign Commonwealth Office</t>
  </si>
  <si>
    <t>Prosperity Fund Programme</t>
  </si>
  <si>
    <t>"The FCO promotes the United Kingdom's interests overseas, supporting our citizens and businesses around the globe. The Prosperity Fund Programme is the UK Foreign and Commonwealth Office fund to tackle climate change, strengthen energy security and promote an open global economy in key emerging economies."</t>
  </si>
  <si>
    <t>"The Finnish development policy and development cooperation pursue a human rights based approach to development. The aim is that everyone, including the poorest people, knows their rights and are able to act for their rights." The fund supports initiatives of local NGOs, science and technology communities, universities and other educational and research institutions, independent media, public corporations and cultural institutions (e.g. museums, libraries and theatres), chambers of commerce and commercial associations, organisations in the area of export and investment promotion, businesses, cooperatives, interest groups of companies and employees, foundations and religious organisations. The aim is to establish longterm partnerships with a limited number of organizations (3 – 5 every second year), instead of supporting once off activities, seminars, and so forth."</t>
  </si>
  <si>
    <t>The Infrastructure Development Fund (IDF) was established in 2002 by the Dutch government and FMO to support private investments in infrastructure. Early stage equity for new project development. Private sector in the financial institutions, energy, agribusiness, food &amp; water. Supports entreupreuneurship in developing countries. FMO is the Dutch development bank supporting sustainable private sector growth in developing and emerging markets. It predominantly invests in financial institutions; energy and agribusiness, food &amp; water"</t>
  </si>
  <si>
    <t>French Agency for Development projects in energy, water, municipal sector support and biodiversity. AFD allocates different types of loans. Their terms are determined by the nature of the project and its environment (political, economic, social, environmental impact and context) and the quality of the borrower (sector of activity, rating, guarantees). AFD is the main implementing agency for France’s official development assistance. AFD supports project and programs through grants, loans, guarantee funds and debt reduction-development contracts."</t>
  </si>
  <si>
    <t>"IKI, through its Energy and Climate Fund supports climate and biodiversity projects in developing and newly industrialising countries, as well as in countries in transition. The fund receives funding from carbon emissions trading and has 120 million Euros available for use annually. The BMUB is responsible for a range of government policies which are reflected in the name of the ministry itself. For more than 30 years the Ministry has worked to protect the public from environmental toxins and radiation and establish an intelligent and efficient use of raw materials; it has advanced climate action and promoted a use of natural resources that conserves biodiversity and secures habitats."</t>
  </si>
  <si>
    <t>"JBIC is a policy-based financial institution of Japan, and conducts lending, investment and guarantee operations while complementing the private sector financial institutions. Specifically, it provides advice for Japanese firms, foreign governments and others with respect to utilization of the Kyoto Protocol, including innovative financing for improving project revenues and reducing borrowing costs by using carbon credits, and on the investment climate in host countries." For projects with Japanese exporters or investors taking part. Focus areas: Energy &amp; Natural Resources, Infrastructure &amp; Environment and industry finance (supporting Japanese export products into Africa)
Accessed through a Japanese business partner.</t>
  </si>
  <si>
    <t>"JICA is Japan’s development agency in South Africa that focuses on: 1) Promotion of Human Capacity Development and Infrastructure Development, 2) Promotion of Participation of vulnerable groups in Social and Economic Activities, and 3) Promotion of Regional Development in Southern Africa. Intergovernmental work regarding technical cooperation."</t>
  </si>
  <si>
    <t xml:space="preserve">Debt/Equity/Guarantee
</t>
  </si>
  <si>
    <t xml:space="preserve">Debt/Grant/Guarantee 
</t>
  </si>
  <si>
    <t>&lt; €10 million</t>
  </si>
  <si>
    <t xml:space="preserve">Ms. Tsakane Bok </t>
  </si>
  <si>
    <t>Mr. Ewout van der Molen (Regional Representative Southern Africa)</t>
  </si>
  <si>
    <t>Martha Stein-Sochas (Johannesburg Manager)</t>
  </si>
  <si>
    <t>Vanessa Westcott</t>
  </si>
  <si>
    <t>Tsakane.Bok@formin.fi</t>
  </si>
  <si>
    <t>www.finland.org.za</t>
  </si>
  <si>
    <t>joburg-office@fmo.nl</t>
  </si>
  <si>
    <t>https://www.fmo.nl</t>
  </si>
  <si>
    <t>afdjohannesbourg@afd.fr</t>
  </si>
  <si>
    <t>www.afd.fr</t>
  </si>
  <si>
    <t>programmbuero@programmbuero-klima.de</t>
  </si>
  <si>
    <t>www.international-climate-initiative.com</t>
  </si>
  <si>
    <t>www.jbic.go.jp/en/finance</t>
  </si>
  <si>
    <t>Kanto.Yuko@jica.go.jp</t>
  </si>
  <si>
    <t>www.jica.go.jp/english/</t>
  </si>
  <si>
    <t>www.afd.fr/</t>
  </si>
  <si>
    <t> Vannessa.Westcott@fco.gov.uk</t>
  </si>
  <si>
    <t>www.gov.uk/</t>
  </si>
  <si>
    <t>Public/ private</t>
  </si>
  <si>
    <t>Use: adaptation, mitigation, or dual benefits</t>
  </si>
  <si>
    <t>Sector</t>
  </si>
  <si>
    <t>International Government</t>
  </si>
  <si>
    <t>Development Finance Institutions</t>
  </si>
  <si>
    <t>Concessional Debt</t>
  </si>
  <si>
    <t>Budget Expenditure</t>
  </si>
  <si>
    <t xml:space="preserve">Government Agency </t>
  </si>
  <si>
    <t>SOE</t>
  </si>
  <si>
    <t>National development finance institution</t>
  </si>
  <si>
    <t>Bilateral/multilateral development finance institution</t>
  </si>
  <si>
    <t>Institutional investors</t>
  </si>
  <si>
    <t>Commercial Financial Institution</t>
  </si>
  <si>
    <t xml:space="preserve">PE/VC/Infrastructure/ other fund
</t>
  </si>
  <si>
    <t>Corporate</t>
  </si>
  <si>
    <t>Philanthropist/donor</t>
  </si>
  <si>
    <t>Household</t>
  </si>
  <si>
    <t>Mitigation</t>
  </si>
  <si>
    <t xml:space="preserve">Duel benefits </t>
  </si>
  <si>
    <t>Adaptation</t>
  </si>
  <si>
    <t>Clean Energy</t>
  </si>
  <si>
    <t>Energy Efficiency &amp; Demand Side Management</t>
  </si>
  <si>
    <t>Low Carbon Transport</t>
  </si>
  <si>
    <t xml:space="preserve">Water conservation, supply &amp; demand </t>
  </si>
  <si>
    <t>Agriculture, food production, fisheries and forestry</t>
  </si>
  <si>
    <t>Circular Economy</t>
  </si>
  <si>
    <t>Buildings and the built environment</t>
  </si>
  <si>
    <t>Material substitution</t>
  </si>
  <si>
    <t xml:space="preserve">General eco-system support </t>
  </si>
  <si>
    <t>Cross-sectoral</t>
  </si>
  <si>
    <t xml:space="preserve">Green Finance Database 2022 </t>
  </si>
  <si>
    <r>
      <rPr>
        <b/>
        <sz val="12"/>
        <color rgb="FF000000"/>
        <rFont val="Arial"/>
        <family val="2"/>
      </rPr>
      <t xml:space="preserve">This publication has been made possible with the financial support of the Western Cape Department of Economic Development and Tourism (DEDAT) 
This publication is intended for the use by various stakeholders in the South African green economy. This database does not represent an exhaustive list of finance options. The nature of the data contained in this database is continually evolving, as such, due care should be taken in interpreting and using the information presented in this database. 
The contents of this publication are the sole responsibility of GreenCape and do not necessarily reflect the views of the funders. For enquiries, please contact </t>
    </r>
    <r>
      <rPr>
        <b/>
        <u/>
        <sz val="12"/>
        <color theme="4"/>
        <rFont val="Arial"/>
        <family val="2"/>
      </rPr>
      <t xml:space="preserve">finance@green-cape.co.za </t>
    </r>
  </si>
  <si>
    <t>Background:</t>
  </si>
  <si>
    <t xml:space="preserve">The authors hold no responsibility for the information continued in the document and cannot be held liable for the use thereof. </t>
  </si>
  <si>
    <t>Contents and Instructions:</t>
  </si>
  <si>
    <t>South Africa’s National Climate Change Response Policy (NCCRP) explicitly calls for the inclusion of the financial services sector in shaping South Africa’s climate and green finance architecture alongside project developers and policymakers.</t>
  </si>
  <si>
    <t>South Africa’s 3rd Biennial Update Report to The United Nations Framework Convention on Climate Change  (BUR3) highlighted that catalysing the financing and investments required to proceed towards the low-carbon and climate-resilient economy remains an important challenge for the country.</t>
  </si>
  <si>
    <t xml:space="preserve">As such a number of stakholders have prioritised the development of resource and investment strategies, capacities, mechanisms, or instruments that support and enable implementation of climate change responses backed by climate finance. </t>
  </si>
  <si>
    <t>Climate finance is defined as local, national or transnational financing, which may be drawn from public, private and alternative sources of financing. These financial resources are intended to cover the costs of transitioning to a low-carbon global economy and to adapt to, or build resilience against, current and future climate change impact.</t>
  </si>
  <si>
    <t>The database provides a breakdown of avaliable climate finance that can be used by green economy companies and projects in South Africa.</t>
  </si>
  <si>
    <t>This database is not an exhaustive resource and may be incomplete but is meant as a mechanism to support eco-system development and growth. It is the sole responsibility of the users of this database to verify and confirm data contained within this database.</t>
  </si>
  <si>
    <t xml:space="preserve">Each sheet is broken down into types of sources of climate finance (public, private and blended) these are covered by government (local and international), development finance institutions, commercial and other. </t>
  </si>
  <si>
    <t>Contents:</t>
  </si>
  <si>
    <t>Development Finance (DFI)</t>
  </si>
  <si>
    <t xml:space="preserve">Step 2: Sort sheet by sector:
 - Clean Energy
 - Energy Efficiency &amp; Demand Side Management
 - Low Carbon Transport
 - Water conservation, supply &amp; demand 
 - Agriculture, food production, fisheries and forestry
 - Circular Economy
 - Buildings and the built environment
 - Material substitution
 - General eco-system support 
 - Cross-sectoral
</t>
  </si>
  <si>
    <t xml:space="preserve">Step 3: Sort sheet by investment instrument:
 - Grant
 - Concessional Debt
 - Debt
 - Equity
 - Budget Expenditure
 - Other
</t>
  </si>
  <si>
    <t>Step 4: Check alignment of size of investment and investment opportunity information</t>
  </si>
  <si>
    <t xml:space="preserve">Private lender </t>
  </si>
  <si>
    <t xml:space="preserve">US Plus </t>
  </si>
  <si>
    <t>Working Capital</t>
  </si>
  <si>
    <t>R2-R5 million</t>
  </si>
  <si>
    <t>Since 2015 UsPlus has been operating as a fintech business focusing on the provision of flexible working capital solutions to the SME sector in South Africa, whilst being guided by a developmental agenda. With an emphasis on SME’s, UsPlus has done so through the purchasing of transferable instruments (such as invoices, purchase orders and contracts) issued by or to its clients together with additional strategic support to at no additional cost. UsPlus was created to improve the competitiveness of SMEs enhancing their ability to (1) meet the procurement requirements of large multinational/local corporations, government and state-owned enterprises and (2) improve access to finance for SMEs with limited access to finance.</t>
  </si>
  <si>
    <t>Ryan Cameron</t>
  </si>
  <si>
    <t>www.usplus.world</t>
  </si>
  <si>
    <t>TLG Capital</t>
  </si>
  <si>
    <t>Ethos</t>
  </si>
  <si>
    <t>Maia Capital</t>
  </si>
  <si>
    <t>five35</t>
  </si>
  <si>
    <t>Green Outcomes Fund</t>
  </si>
  <si>
    <t>provide business finance ranging from R500 000 to R50 million to established entrepreneurs with a viable formal business. Finance can be used for expansion, working capital, equipment, takeovers, property, franchises, property finance for owner occupied businesses, revamps, or management buy-outs.</t>
  </si>
  <si>
    <t>R500 000 to R50 million</t>
  </si>
  <si>
    <t xml:space="preserve">TLG Africa Growth Impact Fund (AGIF)
</t>
  </si>
  <si>
    <t>Open-ended credit fund investing in sub-Saharan Africa with superior risk adjusted returns and high social impact.</t>
  </si>
  <si>
    <t xml:space="preserve">private equity funds specialise in an active investment strategy that focuses on the provision of growth and replacement capital, preferably in control positions. To date, Ethos has made 108 investments and exited 96.
Ethos is currently capital raising for an innovative artificial intelligence offering, Ethos Ai Fund I.  Ethos Fund VII is currently investing.
Ethos Mid Market Fund I closed at over R2.5bn.  The Fund is already over 50% invested and continues to attract significant deal interest.
Ethos Fund VI (one of the largest pools of third-party capital in Africa with c.R8.4bn (US$800 million) in commitments) is fully invested. </t>
  </si>
  <si>
    <t xml:space="preserve">Ethos Private Equity </t>
  </si>
  <si>
    <t>Ethos Mezzanine Partners</t>
  </si>
  <si>
    <t>Mezzanine debt</t>
  </si>
  <si>
    <t>Established in 2020, Maia Capital Partners is a boutique financial services firm that facilitates high-impact investment opportunities for the investor community. The team has solid experience in investments, infrastructure development, and a unique entrepreneurial craft.</t>
  </si>
  <si>
    <t>Rising Tide Africa</t>
  </si>
  <si>
    <t>https://maiacapital.co.za/</t>
  </si>
  <si>
    <t>Rising Tide Africa engages in educating and training women to become sophisticated angel investors through its Program while offering them the opportunity to build a diversified portfolio of investments and receive mentoring from other women who are experienced angel investors.</t>
  </si>
  <si>
    <t>https://risingtideafrica.com/</t>
  </si>
  <si>
    <t xml:space="preserve">With a decade-long track record of venture building alongside some of the smartest female-led founding teams in Africa, we back female-focused startups across multiple sectors that tackle the most meaningful challenges across the continent. Our philosophy is to engage with a diversified portfolio of female-led, female-managed and female-impacted companies
</t>
  </si>
  <si>
    <t>five35 Ventures</t>
  </si>
  <si>
    <t xml:space="preserve">Equity </t>
  </si>
  <si>
    <t>The Green Outcomes Fund (GOF) is a first of its kind structure which supports and incentivises local South African fund managers to increase investment in green Small, Medium and Micro-sized Enterprises (SMMEs). The Green Outcomes Fund aims to achieve clearly defined green outcomes, encourage greater capital allocation to green businesses by local fund managers, and catalyse higher quality, consistent reporting of green impacts.</t>
  </si>
  <si>
    <t>https://thegreenoutcomesfund.co.za/</t>
  </si>
  <si>
    <t>https://www.five35.ventures/</t>
  </si>
  <si>
    <t>https://www.businesspartners.co.za/</t>
  </si>
  <si>
    <t>https://tlgcapital.com/</t>
  </si>
  <si>
    <t>https://ethos.co.za/</t>
  </si>
  <si>
    <t>R10,000 – R5,000,000</t>
  </si>
  <si>
    <t>Lulalend</t>
  </si>
  <si>
    <t>Bridging finance is a form of business finance used to cover immediate costs in the waiting time between receiving an expected cash flow boost. The balancing act between what’s coming in and going out can be like walking a tightrope. This can be especially true when you need to purchase expensive items sooner rather than later</t>
  </si>
  <si>
    <t>https://www.lulalend.co.za/bridging-finance</t>
  </si>
  <si>
    <t xml:space="preserve">Step 1: Select the relevant source of finance sheet </t>
  </si>
  <si>
    <t xml:space="preserve">Step 5: Contact relevant financiers (include high level ask, market size estimate and basic company track record) </t>
  </si>
  <si>
    <t xml:space="preserve">Private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</si>
</sst>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22" x14ac:knownFonts="1">
    <font>
      <sz val="11"/>
      <color rgb="FF000000"/>
      <name val="Calibri"/>
    </font>
    <font>
      <sz val="11"/>
      <color rgb="FF000000"/>
      <name val="Calibri"/>
      <family val="2"/>
      <scheme val="minor"/>
    </font>
    <font>
      <b/>
      <sz val="11"/>
      <color theme="0"/>
      <name val="Calibri"/>
      <family val="2"/>
      <scheme val="minor"/>
    </font>
    <font>
      <sz val="12"/>
      <color theme="1"/>
      <name val="Arial"/>
      <family val="2"/>
    </font>
    <font>
      <u/>
      <sz val="11"/>
      <color theme="10"/>
      <name val="Calibri"/>
    </font>
    <font>
      <b/>
      <sz val="11"/>
      <color theme="1"/>
      <name val="Arial"/>
      <family val="2"/>
    </font>
    <font>
      <sz val="11"/>
      <color theme="1"/>
      <name val="Arial"/>
      <family val="2"/>
    </font>
    <font>
      <b/>
      <sz val="12"/>
      <color theme="1"/>
      <name val="Arial"/>
      <family val="2"/>
    </font>
    <font>
      <sz val="11"/>
      <color rgb="FF000000"/>
      <name val="Arial"/>
      <family val="2"/>
    </font>
    <font>
      <sz val="11"/>
      <color rgb="FF000000"/>
      <name val="Calibri"/>
      <family val="2"/>
    </font>
    <font>
      <sz val="10"/>
      <name val="Arial"/>
      <family val="2"/>
    </font>
    <font>
      <b/>
      <sz val="48"/>
      <color rgb="FFFFFFFF"/>
      <name val="Calibri"/>
      <family val="2"/>
    </font>
    <font>
      <sz val="48"/>
      <color rgb="FF000000"/>
      <name val="Arial"/>
      <family val="2"/>
    </font>
    <font>
      <b/>
      <sz val="28"/>
      <color rgb="FFFFFFFF"/>
      <name val="Calibri"/>
      <family val="2"/>
    </font>
    <font>
      <sz val="28"/>
      <color rgb="FF000000"/>
      <name val="Arial"/>
      <family val="2"/>
    </font>
    <font>
      <b/>
      <u/>
      <sz val="12"/>
      <color rgb="FF000000"/>
      <name val="Arial"/>
      <family val="2"/>
    </font>
    <font>
      <b/>
      <sz val="12"/>
      <color rgb="FF000000"/>
      <name val="Arial"/>
      <family val="2"/>
    </font>
    <font>
      <sz val="12"/>
      <color rgb="FF000000"/>
      <name val="Arial"/>
      <family val="2"/>
    </font>
    <font>
      <sz val="10"/>
      <color rgb="FF000000"/>
      <name val="Arial"/>
      <family val="2"/>
    </font>
    <font>
      <b/>
      <u/>
      <sz val="12"/>
      <color theme="4"/>
      <name val="Arial"/>
      <family val="2"/>
    </font>
    <font>
      <b/>
      <sz val="11"/>
      <color rgb="FFFFFFFF"/>
      <name val="Calibri"/>
      <family val="2"/>
    </font>
    <font>
      <sz val="10"/>
      <color theme="1"/>
      <name val="Arial"/>
      <family val="2"/>
    </font>
  </fonts>
  <fills count="8">
    <fill>
      <patternFill patternType="none"/>
    </fill>
    <fill>
      <patternFill patternType="gray125"/>
    </fill>
    <fill>
      <patternFill patternType="solid">
        <fgColor rgb="FF00AB67"/>
        <bgColor rgb="FF00AB67"/>
      </patternFill>
    </fill>
    <fill>
      <patternFill patternType="solid">
        <fgColor rgb="FFFFFFFF"/>
        <bgColor rgb="FFFFFFFF"/>
      </patternFill>
    </fill>
    <fill>
      <patternFill patternType="solid">
        <fgColor rgb="FF00B050"/>
        <bgColor rgb="FF00B050"/>
      </patternFill>
    </fill>
    <fill>
      <patternFill patternType="solid">
        <fgColor rgb="FFEFEFEF"/>
        <bgColor rgb="FFEFEFEF"/>
      </patternFill>
    </fill>
    <fill>
      <patternFill patternType="solid">
        <fgColor theme="0"/>
        <bgColor theme="0"/>
      </patternFill>
    </fill>
    <fill>
      <patternFill patternType="solid">
        <fgColor theme="0"/>
        <bgColor indexed="64"/>
      </patternFill>
    </fill>
  </fills>
  <borders count="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style="medium">
        <color indexed="64"/>
      </left>
      <right/>
      <top/>
      <bottom/>
      <diagonal/>
    </border>
  </borders>
  <cellStyleXfs count="3">
    <xf numFmtId="0" fontId="0" fillId="0" borderId="0"/>
    <xf numFmtId="0" fontId="3" fillId="0" borderId="1"/>
    <xf numFmtId="0" fontId="4" fillId="0" borderId="0" applyNumberFormat="0" applyFill="0" applyBorder="0" applyAlignment="0" applyProtection="0"/>
  </cellStyleXfs>
  <cellXfs count="37">
    <xf numFmtId="0" fontId="0" fillId="0" borderId="0" xfId="0" applyFont="1" applyAlignment="1"/>
    <xf numFmtId="0" fontId="1" fillId="0" borderId="0" xfId="0" applyFont="1" applyAlignment="1">
      <alignment horizontal="left" vertical="top" wrapText="1"/>
    </xf>
    <xf numFmtId="0" fontId="1" fillId="0" borderId="0" xfId="0" applyFont="1" applyAlignment="1">
      <alignment horizontal="center" vertical="center" wrapText="1"/>
    </xf>
    <xf numFmtId="0" fontId="2" fillId="2" borderId="2" xfId="1" applyFont="1" applyFill="1" applyBorder="1" applyAlignment="1">
      <alignment horizontal="center" vertical="center" wrapText="1"/>
    </xf>
    <xf numFmtId="0" fontId="4" fillId="0" borderId="0" xfId="2" applyAlignment="1">
      <alignment horizontal="left" vertical="top" wrapText="1"/>
    </xf>
    <xf numFmtId="3" fontId="1" fillId="0" borderId="0" xfId="0" applyNumberFormat="1" applyFont="1" applyAlignment="1">
      <alignment horizontal="left" vertical="top" wrapText="1"/>
    </xf>
    <xf numFmtId="0" fontId="1" fillId="0" borderId="0" xfId="0" applyFont="1" applyFill="1" applyAlignment="1">
      <alignment horizontal="left" vertical="top" wrapText="1"/>
    </xf>
    <xf numFmtId="0" fontId="1" fillId="0" borderId="0" xfId="0" quotePrefix="1" applyFont="1" applyAlignment="1">
      <alignment horizontal="left" vertical="top" wrapText="1"/>
    </xf>
    <xf numFmtId="0" fontId="5" fillId="0" borderId="3" xfId="0" applyFont="1" applyBorder="1" applyAlignment="1"/>
    <xf numFmtId="0" fontId="6" fillId="0" borderId="4" xfId="0" applyFont="1" applyBorder="1" applyAlignment="1">
      <alignment horizontal="left" vertical="top"/>
    </xf>
    <xf numFmtId="0" fontId="6" fillId="0" borderId="4" xfId="0" applyFont="1" applyBorder="1" applyAlignment="1"/>
    <xf numFmtId="0" fontId="6" fillId="0" borderId="4" xfId="0" applyFont="1" applyBorder="1" applyAlignment="1">
      <alignment vertical="center"/>
    </xf>
    <xf numFmtId="0" fontId="7" fillId="0" borderId="3" xfId="0" applyFont="1" applyBorder="1" applyAlignment="1"/>
    <xf numFmtId="0" fontId="6" fillId="0" borderId="4" xfId="0" applyFont="1" applyBorder="1"/>
    <xf numFmtId="0" fontId="8" fillId="3" borderId="4" xfId="0" applyFont="1" applyFill="1" applyBorder="1" applyAlignment="1">
      <alignment horizontal="left"/>
    </xf>
    <xf numFmtId="0" fontId="9" fillId="4" borderId="0" xfId="0" applyFont="1" applyFill="1" applyAlignment="1"/>
    <xf numFmtId="0" fontId="10" fillId="4" borderId="0" xfId="0" applyFont="1" applyFill="1"/>
    <xf numFmtId="0" fontId="17" fillId="5" borderId="0" xfId="0" applyFont="1" applyFill="1" applyAlignment="1">
      <alignment vertical="top"/>
    </xf>
    <xf numFmtId="0" fontId="17" fillId="0" borderId="0" xfId="0" applyFont="1" applyAlignment="1">
      <alignment vertical="top"/>
    </xf>
    <xf numFmtId="0" fontId="10" fillId="6" borderId="0" xfId="0" applyFont="1" applyFill="1"/>
    <xf numFmtId="0" fontId="18" fillId="6" borderId="0" xfId="0" applyFont="1" applyFill="1" applyAlignment="1"/>
    <xf numFmtId="0" fontId="18" fillId="6" borderId="0" xfId="0" applyFont="1" applyFill="1"/>
    <xf numFmtId="0" fontId="20" fillId="4" borderId="0" xfId="0" applyFont="1" applyFill="1" applyAlignment="1"/>
    <xf numFmtId="0" fontId="10" fillId="0" borderId="0" xfId="0" applyFont="1" applyAlignment="1">
      <alignment vertical="top" wrapText="1"/>
    </xf>
    <xf numFmtId="0" fontId="21" fillId="0" borderId="0" xfId="0" applyFont="1" applyAlignment="1">
      <alignment wrapText="1"/>
    </xf>
    <xf numFmtId="0" fontId="10" fillId="0" borderId="0" xfId="0" applyFont="1" applyAlignment="1">
      <alignment wrapText="1"/>
    </xf>
    <xf numFmtId="0" fontId="0" fillId="0" borderId="0" xfId="0" applyFont="1" applyAlignment="1">
      <alignment wrapText="1"/>
    </xf>
    <xf numFmtId="0" fontId="20" fillId="4" borderId="0" xfId="0" applyFont="1" applyFill="1" applyAlignment="1">
      <alignment wrapText="1"/>
    </xf>
    <xf numFmtId="0" fontId="4" fillId="0" borderId="0" xfId="2" applyAlignment="1">
      <alignment wrapText="1"/>
    </xf>
    <xf numFmtId="0" fontId="1" fillId="7" borderId="0" xfId="0" applyFont="1" applyFill="1" applyAlignment="1">
      <alignment horizontal="left" vertical="top" wrapText="1"/>
    </xf>
    <xf numFmtId="0" fontId="11" fillId="4" borderId="0" xfId="0" applyFont="1" applyFill="1" applyAlignment="1"/>
    <xf numFmtId="0" fontId="12" fillId="0" borderId="0" xfId="0" applyFont="1" applyAlignment="1"/>
    <xf numFmtId="0" fontId="13" fillId="4" borderId="0" xfId="0" applyFont="1" applyFill="1" applyAlignment="1"/>
    <xf numFmtId="0" fontId="14" fillId="0" borderId="0" xfId="0" applyFont="1" applyAlignment="1"/>
    <xf numFmtId="164" fontId="13" fillId="4" borderId="0" xfId="0" applyNumberFormat="1" applyFont="1" applyFill="1" applyAlignment="1">
      <alignment horizontal="left"/>
    </xf>
    <xf numFmtId="0" fontId="15" fillId="5" borderId="0" xfId="0" applyFont="1" applyFill="1" applyAlignment="1">
      <alignment horizontal="left" vertical="top" wrapText="1"/>
    </xf>
    <xf numFmtId="0" fontId="1" fillId="0" borderId="0" xfId="0" applyFont="1" applyAlignment="1">
      <alignment horizontal="left" vertical="top" wrapText="1"/>
    </xf>
  </cellXfs>
  <cellStyles count="3">
    <cellStyle name="Hyperlink" xfId="2" builtinId="8"/>
    <cellStyle name="Normal" xfId="0" builtinId="0"/>
    <cellStyle name="Normal 2" xfId="1"/>
  </cellStyles>
  <dxfs count="0"/>
  <tableStyles count="0" defaultTableStyle="TableStyleMedium2" defaultPivotStyle="PivotStyleLight16"/>
  <colors>
    <mruColors>
      <color rgb="FFC1E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7</xdr:row>
      <xdr:rowOff>0</xdr:rowOff>
    </xdr:from>
    <xdr:to>
      <xdr:col>0</xdr:col>
      <xdr:colOff>10363200</xdr:colOff>
      <xdr:row>10</xdr:row>
      <xdr:rowOff>175726</xdr:rowOff>
    </xdr:to>
    <xdr:pic>
      <xdr:nvPicPr>
        <xdr:cNvPr id="3" name="Picture 2"/>
        <xdr:cNvPicPr>
          <a:picLocks noChangeAspect="1"/>
        </xdr:cNvPicPr>
      </xdr:nvPicPr>
      <xdr:blipFill>
        <a:blip xmlns:r="http://schemas.openxmlformats.org/officeDocument/2006/relationships" r:embed="rId1"/>
        <a:stretch>
          <a:fillRect/>
        </a:stretch>
      </xdr:blipFill>
      <xdr:spPr>
        <a:xfrm>
          <a:off x="1" y="4206240"/>
          <a:ext cx="10363199" cy="3193245"/>
        </a:xfrm>
        <a:prstGeom prst="rect">
          <a:avLst/>
        </a:prstGeom>
      </xdr:spPr>
    </xdr:pic>
    <xdr:clientData/>
  </xdr:twoCellAnchor>
  <xdr:twoCellAnchor editAs="oneCell">
    <xdr:from>
      <xdr:col>1</xdr:col>
      <xdr:colOff>1</xdr:colOff>
      <xdr:row>7</xdr:row>
      <xdr:rowOff>1</xdr:rowOff>
    </xdr:from>
    <xdr:to>
      <xdr:col>7</xdr:col>
      <xdr:colOff>152401</xdr:colOff>
      <xdr:row>7</xdr:row>
      <xdr:rowOff>2529759</xdr:rowOff>
    </xdr:to>
    <xdr:pic>
      <xdr:nvPicPr>
        <xdr:cNvPr id="4" name="Picture 3"/>
        <xdr:cNvPicPr>
          <a:picLocks noChangeAspect="1"/>
        </xdr:cNvPicPr>
      </xdr:nvPicPr>
      <xdr:blipFill>
        <a:blip xmlns:r="http://schemas.openxmlformats.org/officeDocument/2006/relationships" r:embed="rId2"/>
        <a:stretch>
          <a:fillRect/>
        </a:stretch>
      </xdr:blipFill>
      <xdr:spPr>
        <a:xfrm>
          <a:off x="11033761" y="4206241"/>
          <a:ext cx="9052560" cy="25297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energy@green-cape.co.z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fricafc.org/"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lulalend.co.za/bridging-finance" TargetMode="External"/><Relationship Id="rId2" Type="http://schemas.openxmlformats.org/officeDocument/2006/relationships/hyperlink" Target="http://www.usplus.world/" TargetMode="External"/><Relationship Id="rId1" Type="http://schemas.openxmlformats.org/officeDocument/2006/relationships/hyperlink" Target="https://www.eaif.com/" TargetMode="External"/><Relationship Id="rId4"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1"/>
  <sheetViews>
    <sheetView zoomScale="85" zoomScaleNormal="85" workbookViewId="0">
      <selection activeCell="A3" sqref="A3:F3"/>
    </sheetView>
  </sheetViews>
  <sheetFormatPr defaultColWidth="14.44140625" defaultRowHeight="15.75" customHeight="1" x14ac:dyDescent="0.3"/>
  <cols>
    <col min="1" max="1" width="160.6640625" customWidth="1"/>
    <col min="2" max="2" width="46.6640625" customWidth="1"/>
    <col min="4" max="4" width="24.5546875" customWidth="1"/>
  </cols>
  <sheetData>
    <row r="1" spans="1:26" ht="14.4" x14ac:dyDescent="0.3">
      <c r="A1" s="15"/>
      <c r="B1" s="15"/>
      <c r="C1" s="15"/>
      <c r="D1" s="15"/>
      <c r="E1" s="15"/>
      <c r="F1" s="15"/>
      <c r="G1" s="16"/>
      <c r="H1" s="16"/>
      <c r="I1" s="16"/>
      <c r="J1" s="16"/>
      <c r="K1" s="16"/>
      <c r="L1" s="16"/>
      <c r="M1" s="16"/>
      <c r="N1" s="16"/>
      <c r="O1" s="16"/>
      <c r="P1" s="16"/>
      <c r="Q1" s="16"/>
      <c r="R1" s="16"/>
      <c r="S1" s="16"/>
      <c r="T1" s="16"/>
      <c r="U1" s="16"/>
      <c r="V1" s="16"/>
      <c r="W1" s="16"/>
      <c r="X1" s="16"/>
      <c r="Y1" s="16"/>
      <c r="Z1" s="16"/>
    </row>
    <row r="2" spans="1:26" ht="61.8" x14ac:dyDescent="1.1000000000000001">
      <c r="A2" s="30" t="s">
        <v>829</v>
      </c>
      <c r="B2" s="31"/>
      <c r="C2" s="31"/>
      <c r="D2" s="31"/>
      <c r="E2" s="31"/>
      <c r="F2" s="31"/>
      <c r="G2" s="16"/>
      <c r="H2" s="16"/>
      <c r="I2" s="16"/>
      <c r="J2" s="16"/>
      <c r="K2" s="16"/>
      <c r="L2" s="16"/>
      <c r="M2" s="16"/>
      <c r="N2" s="16"/>
      <c r="O2" s="16"/>
      <c r="P2" s="16"/>
      <c r="Q2" s="16"/>
      <c r="R2" s="16"/>
      <c r="S2" s="16"/>
      <c r="T2" s="16"/>
      <c r="U2" s="16"/>
      <c r="V2" s="16"/>
      <c r="W2" s="16"/>
      <c r="X2" s="16"/>
      <c r="Y2" s="16"/>
      <c r="Z2" s="16"/>
    </row>
    <row r="3" spans="1:26" ht="36.6" x14ac:dyDescent="0.7">
      <c r="A3" s="32" t="s">
        <v>133</v>
      </c>
      <c r="B3" s="33"/>
      <c r="C3" s="33"/>
      <c r="D3" s="33"/>
      <c r="E3" s="33"/>
      <c r="F3" s="33"/>
      <c r="G3" s="16"/>
      <c r="H3" s="16"/>
      <c r="I3" s="16"/>
      <c r="J3" s="16"/>
      <c r="K3" s="16"/>
      <c r="L3" s="16"/>
      <c r="M3" s="16"/>
      <c r="N3" s="16"/>
      <c r="O3" s="16"/>
      <c r="P3" s="16"/>
      <c r="Q3" s="16"/>
      <c r="R3" s="16"/>
      <c r="S3" s="16"/>
      <c r="T3" s="16"/>
      <c r="U3" s="16"/>
      <c r="V3" s="16"/>
      <c r="W3" s="16"/>
      <c r="X3" s="16"/>
      <c r="Y3" s="16"/>
      <c r="Z3" s="16"/>
    </row>
    <row r="4" spans="1:26" ht="36.6" x14ac:dyDescent="0.7">
      <c r="A4" s="34">
        <v>44621</v>
      </c>
      <c r="B4" s="33"/>
      <c r="C4" s="33"/>
      <c r="D4" s="33"/>
      <c r="E4" s="33"/>
      <c r="F4" s="33"/>
      <c r="G4" s="16"/>
      <c r="H4" s="16"/>
      <c r="I4" s="16"/>
      <c r="J4" s="16"/>
      <c r="K4" s="16"/>
      <c r="L4" s="16"/>
      <c r="M4" s="16"/>
      <c r="N4" s="16"/>
      <c r="O4" s="16"/>
      <c r="P4" s="16"/>
      <c r="Q4" s="16"/>
      <c r="R4" s="16"/>
      <c r="S4" s="16"/>
      <c r="T4" s="16"/>
      <c r="U4" s="16"/>
      <c r="V4" s="16"/>
      <c r="W4" s="16"/>
      <c r="X4" s="16"/>
      <c r="Y4" s="16"/>
      <c r="Z4" s="16"/>
    </row>
    <row r="5" spans="1:26" ht="14.4" x14ac:dyDescent="0.3">
      <c r="A5" s="16"/>
      <c r="B5" s="16"/>
      <c r="C5" s="16"/>
      <c r="D5" s="16"/>
      <c r="E5" s="16"/>
      <c r="F5" s="16"/>
      <c r="G5" s="16"/>
      <c r="H5" s="16"/>
      <c r="I5" s="16"/>
      <c r="J5" s="16"/>
      <c r="K5" s="16"/>
      <c r="L5" s="16"/>
      <c r="M5" s="16"/>
      <c r="N5" s="16"/>
      <c r="O5" s="16"/>
      <c r="P5" s="16"/>
      <c r="Q5" s="16"/>
      <c r="R5" s="16"/>
      <c r="S5" s="16"/>
      <c r="T5" s="16"/>
      <c r="U5" s="16"/>
      <c r="V5" s="16"/>
      <c r="W5" s="16"/>
      <c r="X5" s="16"/>
      <c r="Y5" s="16"/>
      <c r="Z5" s="16"/>
    </row>
    <row r="6" spans="1:26" ht="14.4" x14ac:dyDescent="0.3">
      <c r="A6" s="16"/>
      <c r="B6" s="16"/>
      <c r="C6" s="16"/>
      <c r="D6" s="16"/>
      <c r="E6" s="16"/>
      <c r="F6" s="16"/>
      <c r="G6" s="16"/>
      <c r="H6" s="16"/>
      <c r="I6" s="16"/>
      <c r="J6" s="16"/>
      <c r="K6" s="16"/>
      <c r="L6" s="16"/>
      <c r="M6" s="16"/>
      <c r="N6" s="16"/>
      <c r="O6" s="16"/>
      <c r="P6" s="16"/>
      <c r="Q6" s="16"/>
      <c r="R6" s="16"/>
      <c r="S6" s="16"/>
      <c r="T6" s="16"/>
      <c r="U6" s="16"/>
      <c r="V6" s="16"/>
      <c r="W6" s="16"/>
      <c r="X6" s="16"/>
      <c r="Y6" s="16"/>
      <c r="Z6" s="16"/>
    </row>
    <row r="7" spans="1:26" s="18" customFormat="1" ht="168" customHeight="1" x14ac:dyDescent="0.3">
      <c r="A7" s="35" t="s">
        <v>830</v>
      </c>
      <c r="B7" s="35"/>
      <c r="C7" s="35"/>
      <c r="D7" s="35"/>
      <c r="E7" s="17"/>
      <c r="F7" s="17"/>
      <c r="G7" s="17"/>
      <c r="H7" s="17"/>
      <c r="I7" s="17"/>
      <c r="J7" s="17"/>
      <c r="K7" s="17"/>
      <c r="L7" s="17"/>
      <c r="M7" s="17"/>
      <c r="N7" s="17"/>
      <c r="O7" s="17"/>
      <c r="P7" s="17"/>
      <c r="Q7" s="17"/>
      <c r="R7" s="17"/>
      <c r="S7" s="17"/>
      <c r="T7" s="17"/>
      <c r="U7" s="17"/>
      <c r="V7" s="17"/>
      <c r="W7" s="17"/>
      <c r="X7" s="17"/>
      <c r="Y7" s="17"/>
      <c r="Z7" s="17"/>
    </row>
    <row r="8" spans="1:26" ht="208.5" customHeight="1" x14ac:dyDescent="0.3">
      <c r="A8" s="19"/>
      <c r="B8" s="19"/>
      <c r="C8" s="19"/>
      <c r="D8" s="19"/>
      <c r="E8" s="19"/>
      <c r="F8" s="19"/>
      <c r="G8" s="19"/>
      <c r="H8" s="19"/>
      <c r="I8" s="19"/>
      <c r="J8" s="19"/>
      <c r="K8" s="19"/>
      <c r="L8" s="19"/>
      <c r="M8" s="19"/>
      <c r="N8" s="19"/>
      <c r="O8" s="19"/>
      <c r="P8" s="19"/>
      <c r="Q8" s="19"/>
      <c r="R8" s="19"/>
      <c r="S8" s="19"/>
      <c r="T8" s="19"/>
      <c r="U8" s="19"/>
      <c r="V8" s="19"/>
      <c r="W8" s="19"/>
      <c r="X8" s="19"/>
      <c r="Y8" s="19"/>
      <c r="Z8" s="19"/>
    </row>
    <row r="9" spans="1:26" ht="14.4" x14ac:dyDescent="0.3">
      <c r="A9" s="20"/>
      <c r="B9" s="21"/>
      <c r="C9" s="21"/>
      <c r="D9" s="21"/>
      <c r="E9" s="21"/>
      <c r="F9" s="21"/>
      <c r="G9" s="21"/>
      <c r="H9" s="21"/>
      <c r="I9" s="21"/>
      <c r="J9" s="21"/>
      <c r="K9" s="21"/>
      <c r="L9" s="21"/>
      <c r="M9" s="21"/>
      <c r="N9" s="21"/>
      <c r="O9" s="21"/>
      <c r="P9" s="21"/>
      <c r="Q9" s="21"/>
      <c r="R9" s="21"/>
      <c r="S9" s="21"/>
      <c r="T9" s="21"/>
      <c r="U9" s="21"/>
      <c r="V9" s="21"/>
      <c r="W9" s="21"/>
      <c r="X9" s="21"/>
      <c r="Y9" s="21"/>
      <c r="Z9" s="21"/>
    </row>
    <row r="10" spans="1:26" ht="14.4" x14ac:dyDescent="0.3">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26" ht="14.4" x14ac:dyDescent="0.3">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26" ht="14.4" x14ac:dyDescent="0.3">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row>
    <row r="13" spans="1:26" ht="14.4" x14ac:dyDescent="0.3">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26" ht="14.4" x14ac:dyDescent="0.3">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row>
    <row r="15" spans="1:26" ht="14.4" x14ac:dyDescent="0.3">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row>
    <row r="16" spans="1:26" ht="14.4" x14ac:dyDescent="0.3">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row>
    <row r="17" spans="1:26" ht="14.4" x14ac:dyDescent="0.3">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1:26" ht="14.4" x14ac:dyDescent="0.3">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ht="14.4" x14ac:dyDescent="0.3">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ht="14.4" x14ac:dyDescent="0.3">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14.4" x14ac:dyDescent="0.3">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14.4" x14ac:dyDescent="0.3">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ht="14.4" x14ac:dyDescent="0.3">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14.4" x14ac:dyDescent="0.3">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ht="14.4" x14ac:dyDescent="0.3">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ht="14.4" x14ac:dyDescent="0.3">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ht="14.4" x14ac:dyDescent="0.3">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ht="14.4" x14ac:dyDescent="0.3">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ht="14.4" x14ac:dyDescent="0.3">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ht="14.4" x14ac:dyDescent="0.3">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ht="14.4" x14ac:dyDescent="0.3">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ht="14.4" x14ac:dyDescent="0.3">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ht="14.4" x14ac:dyDescent="0.3">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4.4" x14ac:dyDescent="0.3">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ht="14.4" x14ac:dyDescent="0.3">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4.4" x14ac:dyDescent="0.3">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ht="14.4" x14ac:dyDescent="0.3">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4.4" x14ac:dyDescent="0.3">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ht="14.4" x14ac:dyDescent="0.3">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ht="14.4" x14ac:dyDescent="0.3">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4.4" x14ac:dyDescent="0.3">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ht="14.4" x14ac:dyDescent="0.3">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ht="14.4" x14ac:dyDescent="0.3">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4.4" x14ac:dyDescent="0.3">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ht="14.4" x14ac:dyDescent="0.3">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14.4" x14ac:dyDescent="0.3">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4.4" x14ac:dyDescent="0.3">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14.4" x14ac:dyDescent="0.3">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ht="14.4" x14ac:dyDescent="0.3">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ht="14.4" x14ac:dyDescent="0.3">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ht="14.4" x14ac:dyDescent="0.3">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ht="14.4" x14ac:dyDescent="0.3">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ht="14.4" x14ac:dyDescent="0.3">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ht="14.4" x14ac:dyDescent="0.3">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ht="14.4" x14ac:dyDescent="0.3">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4.4" x14ac:dyDescent="0.3">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ht="14.4" x14ac:dyDescent="0.3">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4.4" x14ac:dyDescent="0.3">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ht="14.4" x14ac:dyDescent="0.3">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ht="14.4" x14ac:dyDescent="0.3">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ht="14.4" x14ac:dyDescent="0.3">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ht="14.4" x14ac:dyDescent="0.3">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4.4" x14ac:dyDescent="0.3">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ht="14.4" x14ac:dyDescent="0.3">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ht="14.4" x14ac:dyDescent="0.3">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4.4" x14ac:dyDescent="0.3">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ht="14.4" x14ac:dyDescent="0.3">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ht="14.4" x14ac:dyDescent="0.3">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ht="14.4" x14ac:dyDescent="0.3">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ht="14.4" x14ac:dyDescent="0.3">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ht="14.4" x14ac:dyDescent="0.3">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14.4" x14ac:dyDescent="0.3">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4.4" x14ac:dyDescent="0.3">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ht="14.4" x14ac:dyDescent="0.3">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14.4" x14ac:dyDescent="0.3">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4.4" x14ac:dyDescent="0.3">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4.4" x14ac:dyDescent="0.3">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4.4" x14ac:dyDescent="0.3">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4.4" x14ac:dyDescent="0.3">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4.4" x14ac:dyDescent="0.3">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4.4" x14ac:dyDescent="0.3">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4.4" x14ac:dyDescent="0.3">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4.4" x14ac:dyDescent="0.3">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4.4" x14ac:dyDescent="0.3">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4.4" x14ac:dyDescent="0.3">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4.4" x14ac:dyDescent="0.3">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4.4" x14ac:dyDescent="0.3">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4.4" x14ac:dyDescent="0.3">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4.4" x14ac:dyDescent="0.3">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4.4" x14ac:dyDescent="0.3">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4.4" x14ac:dyDescent="0.3">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4.4" x14ac:dyDescent="0.3">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4.4" x14ac:dyDescent="0.3">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4.4" x14ac:dyDescent="0.3">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4.4" x14ac:dyDescent="0.3">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4.4" x14ac:dyDescent="0.3">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4.4" x14ac:dyDescent="0.3">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4.4" x14ac:dyDescent="0.3">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4.4" x14ac:dyDescent="0.3">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4.4" x14ac:dyDescent="0.3">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4.4" x14ac:dyDescent="0.3">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4.4" x14ac:dyDescent="0.3">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4.4" x14ac:dyDescent="0.3">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4.4" x14ac:dyDescent="0.3">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4.4" x14ac:dyDescent="0.3">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4.4" x14ac:dyDescent="0.3">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4.4" x14ac:dyDescent="0.3">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4.4" x14ac:dyDescent="0.3">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4.4" x14ac:dyDescent="0.3">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4.4" x14ac:dyDescent="0.3">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4.4" x14ac:dyDescent="0.3">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4.4" x14ac:dyDescent="0.3">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4.4" x14ac:dyDescent="0.3">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4.4" x14ac:dyDescent="0.3">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4.4" x14ac:dyDescent="0.3">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4.4" x14ac:dyDescent="0.3">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4.4" x14ac:dyDescent="0.3">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4.4" x14ac:dyDescent="0.3">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4.4" x14ac:dyDescent="0.3">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4.4" x14ac:dyDescent="0.3">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4.4" x14ac:dyDescent="0.3">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4.4" x14ac:dyDescent="0.3">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4.4" x14ac:dyDescent="0.3">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4.4" x14ac:dyDescent="0.3">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4.4" x14ac:dyDescent="0.3">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4.4" x14ac:dyDescent="0.3">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4.4" x14ac:dyDescent="0.3">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4.4" x14ac:dyDescent="0.3">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4.4" x14ac:dyDescent="0.3">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4.4" x14ac:dyDescent="0.3">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4.4" x14ac:dyDescent="0.3">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4.4" x14ac:dyDescent="0.3">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4.4" x14ac:dyDescent="0.3">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4.4" x14ac:dyDescent="0.3">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4.4" x14ac:dyDescent="0.3">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4.4" x14ac:dyDescent="0.3">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4.4" x14ac:dyDescent="0.3">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4.4" x14ac:dyDescent="0.3">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4.4" x14ac:dyDescent="0.3">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4.4" x14ac:dyDescent="0.3">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4.4" x14ac:dyDescent="0.3">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4.4" x14ac:dyDescent="0.3">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4.4" x14ac:dyDescent="0.3">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4.4" x14ac:dyDescent="0.3">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4.4" x14ac:dyDescent="0.3">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4.4" x14ac:dyDescent="0.3">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4.4" x14ac:dyDescent="0.3">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4.4" x14ac:dyDescent="0.3">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4.4" x14ac:dyDescent="0.3">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4.4" x14ac:dyDescent="0.3">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4.4" x14ac:dyDescent="0.3">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4.4" x14ac:dyDescent="0.3">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4.4" x14ac:dyDescent="0.3">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4.4" x14ac:dyDescent="0.3">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4.4" x14ac:dyDescent="0.3">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4.4" x14ac:dyDescent="0.3">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4.4" x14ac:dyDescent="0.3">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4.4" x14ac:dyDescent="0.3">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4.4" x14ac:dyDescent="0.3">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4.4" x14ac:dyDescent="0.3">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4.4" x14ac:dyDescent="0.3">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4.4" x14ac:dyDescent="0.3">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4.4" x14ac:dyDescent="0.3">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4.4" x14ac:dyDescent="0.3">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4.4" x14ac:dyDescent="0.3">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4.4" x14ac:dyDescent="0.3">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4.4" x14ac:dyDescent="0.3">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4.4" x14ac:dyDescent="0.3">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4.4" x14ac:dyDescent="0.3">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4.4" x14ac:dyDescent="0.3">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4.4" x14ac:dyDescent="0.3">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4.4" x14ac:dyDescent="0.3">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4.4" x14ac:dyDescent="0.3">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4.4" x14ac:dyDescent="0.3">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4.4" x14ac:dyDescent="0.3">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4.4" x14ac:dyDescent="0.3">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4.4" x14ac:dyDescent="0.3">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4.4" x14ac:dyDescent="0.3">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4.4" x14ac:dyDescent="0.3">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4.4" x14ac:dyDescent="0.3">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4.4" x14ac:dyDescent="0.3">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4.4" x14ac:dyDescent="0.3">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4.4" x14ac:dyDescent="0.3">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4.4" x14ac:dyDescent="0.3">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4.4" x14ac:dyDescent="0.3">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4.4" x14ac:dyDescent="0.3">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4.4" x14ac:dyDescent="0.3">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4.4" x14ac:dyDescent="0.3">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4.4" x14ac:dyDescent="0.3">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4.4" x14ac:dyDescent="0.3">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4.4" x14ac:dyDescent="0.3">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4.4" x14ac:dyDescent="0.3">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4.4" x14ac:dyDescent="0.3">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4.4" x14ac:dyDescent="0.3">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4.4" x14ac:dyDescent="0.3">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4.4" x14ac:dyDescent="0.3">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4.4" x14ac:dyDescent="0.3">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4.4" x14ac:dyDescent="0.3">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4.4" x14ac:dyDescent="0.3">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4.4" x14ac:dyDescent="0.3">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4.4" x14ac:dyDescent="0.3">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4.4" x14ac:dyDescent="0.3">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4.4" x14ac:dyDescent="0.3">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4.4" x14ac:dyDescent="0.3">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4.4" x14ac:dyDescent="0.3">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4.4" x14ac:dyDescent="0.3">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4.4" x14ac:dyDescent="0.3">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4.4" x14ac:dyDescent="0.3">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4.4" x14ac:dyDescent="0.3">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4.4" x14ac:dyDescent="0.3">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4.4" x14ac:dyDescent="0.3">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4.4" x14ac:dyDescent="0.3">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4.4" x14ac:dyDescent="0.3">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4.4" x14ac:dyDescent="0.3">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4.4" x14ac:dyDescent="0.3">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4.4" x14ac:dyDescent="0.3">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4.4" x14ac:dyDescent="0.3">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4.4" x14ac:dyDescent="0.3">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4.4" x14ac:dyDescent="0.3">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4.4" x14ac:dyDescent="0.3">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4.4" x14ac:dyDescent="0.3">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4.4" x14ac:dyDescent="0.3">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4.4" x14ac:dyDescent="0.3">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4.4" x14ac:dyDescent="0.3">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4.4" x14ac:dyDescent="0.3">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4.4" x14ac:dyDescent="0.3">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4.4" x14ac:dyDescent="0.3">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4.4" x14ac:dyDescent="0.3">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4.4" x14ac:dyDescent="0.3">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4.4" x14ac:dyDescent="0.3">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4.4" x14ac:dyDescent="0.3">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4.4" x14ac:dyDescent="0.3">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4.4" x14ac:dyDescent="0.3">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4.4" x14ac:dyDescent="0.3">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4.4" x14ac:dyDescent="0.3">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4.4" x14ac:dyDescent="0.3">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4.4" x14ac:dyDescent="0.3">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4.4" x14ac:dyDescent="0.3">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4.4" x14ac:dyDescent="0.3">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4.4" x14ac:dyDescent="0.3">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4.4" x14ac:dyDescent="0.3">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4.4" x14ac:dyDescent="0.3">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4.4" x14ac:dyDescent="0.3">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4.4" x14ac:dyDescent="0.3">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4.4" x14ac:dyDescent="0.3">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4.4" x14ac:dyDescent="0.3">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4.4" x14ac:dyDescent="0.3">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4.4" x14ac:dyDescent="0.3">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4.4" x14ac:dyDescent="0.3">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4.4" x14ac:dyDescent="0.3">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4.4" x14ac:dyDescent="0.3">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4.4" x14ac:dyDescent="0.3">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4.4" x14ac:dyDescent="0.3">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4.4" x14ac:dyDescent="0.3">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4.4" x14ac:dyDescent="0.3">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4.4" x14ac:dyDescent="0.3">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4.4" x14ac:dyDescent="0.3">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4.4" x14ac:dyDescent="0.3">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4.4" x14ac:dyDescent="0.3">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4.4" x14ac:dyDescent="0.3">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4.4" x14ac:dyDescent="0.3">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4.4" x14ac:dyDescent="0.3">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4.4" x14ac:dyDescent="0.3">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4.4" x14ac:dyDescent="0.3">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4.4" x14ac:dyDescent="0.3">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4.4" x14ac:dyDescent="0.3">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4.4" x14ac:dyDescent="0.3">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4.4" x14ac:dyDescent="0.3">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4.4" x14ac:dyDescent="0.3">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4.4" x14ac:dyDescent="0.3">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4.4" x14ac:dyDescent="0.3">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4.4" x14ac:dyDescent="0.3">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4.4" x14ac:dyDescent="0.3">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4.4" x14ac:dyDescent="0.3">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4.4" x14ac:dyDescent="0.3">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4.4" x14ac:dyDescent="0.3">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4.4" x14ac:dyDescent="0.3">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4.4" x14ac:dyDescent="0.3">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4.4" x14ac:dyDescent="0.3">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4.4" x14ac:dyDescent="0.3">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4.4" x14ac:dyDescent="0.3">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4.4" x14ac:dyDescent="0.3">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4.4" x14ac:dyDescent="0.3">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4.4" x14ac:dyDescent="0.3">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4.4" x14ac:dyDescent="0.3">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4.4" x14ac:dyDescent="0.3">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4.4" x14ac:dyDescent="0.3">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4.4" x14ac:dyDescent="0.3">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4.4" x14ac:dyDescent="0.3">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4.4" x14ac:dyDescent="0.3">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4.4" x14ac:dyDescent="0.3">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4.4" x14ac:dyDescent="0.3">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4.4" x14ac:dyDescent="0.3">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4.4" x14ac:dyDescent="0.3">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4.4" x14ac:dyDescent="0.3">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4.4" x14ac:dyDescent="0.3">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4.4" x14ac:dyDescent="0.3">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4.4" x14ac:dyDescent="0.3">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4.4" x14ac:dyDescent="0.3">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4.4" x14ac:dyDescent="0.3">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4.4" x14ac:dyDescent="0.3">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4.4" x14ac:dyDescent="0.3">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4.4" x14ac:dyDescent="0.3">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4.4" x14ac:dyDescent="0.3">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4.4" x14ac:dyDescent="0.3">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4.4" x14ac:dyDescent="0.3">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4.4" x14ac:dyDescent="0.3">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4.4" x14ac:dyDescent="0.3">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4.4" x14ac:dyDescent="0.3">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4.4" x14ac:dyDescent="0.3">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4.4" x14ac:dyDescent="0.3">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4.4" x14ac:dyDescent="0.3">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4.4" x14ac:dyDescent="0.3">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4.4" x14ac:dyDescent="0.3">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4.4" x14ac:dyDescent="0.3">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4.4" x14ac:dyDescent="0.3">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4.4" x14ac:dyDescent="0.3">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4.4" x14ac:dyDescent="0.3">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4.4" x14ac:dyDescent="0.3">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4.4" x14ac:dyDescent="0.3">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4.4" x14ac:dyDescent="0.3">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4.4" x14ac:dyDescent="0.3">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4.4" x14ac:dyDescent="0.3">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4.4" x14ac:dyDescent="0.3">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4.4" x14ac:dyDescent="0.3">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4.4" x14ac:dyDescent="0.3">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4.4" x14ac:dyDescent="0.3">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4.4" x14ac:dyDescent="0.3">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4.4" x14ac:dyDescent="0.3">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4.4" x14ac:dyDescent="0.3">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4.4" x14ac:dyDescent="0.3">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4.4" x14ac:dyDescent="0.3">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4.4" x14ac:dyDescent="0.3">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4.4" x14ac:dyDescent="0.3">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4.4" x14ac:dyDescent="0.3">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4.4" x14ac:dyDescent="0.3">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4.4" x14ac:dyDescent="0.3">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4.4" x14ac:dyDescent="0.3">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4.4" x14ac:dyDescent="0.3">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4.4" x14ac:dyDescent="0.3">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4.4" x14ac:dyDescent="0.3">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4.4" x14ac:dyDescent="0.3">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4.4" x14ac:dyDescent="0.3">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4.4" x14ac:dyDescent="0.3">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4.4" x14ac:dyDescent="0.3">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4.4" x14ac:dyDescent="0.3">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4.4" x14ac:dyDescent="0.3">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4.4" x14ac:dyDescent="0.3">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4.4" x14ac:dyDescent="0.3">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4.4" x14ac:dyDescent="0.3">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4.4" x14ac:dyDescent="0.3">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4.4" x14ac:dyDescent="0.3">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4.4" x14ac:dyDescent="0.3">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4.4" x14ac:dyDescent="0.3">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4.4" x14ac:dyDescent="0.3">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4.4" x14ac:dyDescent="0.3">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4.4" x14ac:dyDescent="0.3">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4.4" x14ac:dyDescent="0.3">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4.4" x14ac:dyDescent="0.3">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4.4" x14ac:dyDescent="0.3">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4.4" x14ac:dyDescent="0.3">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4.4" x14ac:dyDescent="0.3">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4.4" x14ac:dyDescent="0.3">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4.4" x14ac:dyDescent="0.3">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4.4" x14ac:dyDescent="0.3">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4.4" x14ac:dyDescent="0.3">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4.4" x14ac:dyDescent="0.3">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4.4" x14ac:dyDescent="0.3">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4.4" x14ac:dyDescent="0.3">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4.4" x14ac:dyDescent="0.3">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4.4" x14ac:dyDescent="0.3">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4.4" x14ac:dyDescent="0.3">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4.4" x14ac:dyDescent="0.3">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4.4" x14ac:dyDescent="0.3">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4.4" x14ac:dyDescent="0.3">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4.4" x14ac:dyDescent="0.3">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4.4" x14ac:dyDescent="0.3">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4.4" x14ac:dyDescent="0.3">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4.4" x14ac:dyDescent="0.3">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4.4" x14ac:dyDescent="0.3">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4.4" x14ac:dyDescent="0.3">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4.4" x14ac:dyDescent="0.3">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4.4" x14ac:dyDescent="0.3">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4.4" x14ac:dyDescent="0.3">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4.4" x14ac:dyDescent="0.3">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4.4" x14ac:dyDescent="0.3">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4.4" x14ac:dyDescent="0.3">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4.4" x14ac:dyDescent="0.3">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4.4" x14ac:dyDescent="0.3">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4.4" x14ac:dyDescent="0.3">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4.4" x14ac:dyDescent="0.3">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4.4" x14ac:dyDescent="0.3">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4.4" x14ac:dyDescent="0.3">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4.4" x14ac:dyDescent="0.3">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4.4" x14ac:dyDescent="0.3">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4.4" x14ac:dyDescent="0.3">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4.4" x14ac:dyDescent="0.3">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4.4" x14ac:dyDescent="0.3">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4.4" x14ac:dyDescent="0.3">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4.4" x14ac:dyDescent="0.3">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4.4" x14ac:dyDescent="0.3">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4.4" x14ac:dyDescent="0.3">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4.4" x14ac:dyDescent="0.3">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4.4" x14ac:dyDescent="0.3">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4.4" x14ac:dyDescent="0.3">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4.4" x14ac:dyDescent="0.3">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4.4" x14ac:dyDescent="0.3">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4.4" x14ac:dyDescent="0.3">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4.4" x14ac:dyDescent="0.3">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4.4" x14ac:dyDescent="0.3">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4.4" x14ac:dyDescent="0.3">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4.4" x14ac:dyDescent="0.3">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4.4" x14ac:dyDescent="0.3">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4.4" x14ac:dyDescent="0.3">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4.4" x14ac:dyDescent="0.3">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4.4" x14ac:dyDescent="0.3">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4.4" x14ac:dyDescent="0.3">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4.4" x14ac:dyDescent="0.3">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4.4" x14ac:dyDescent="0.3">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4.4" x14ac:dyDescent="0.3">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4.4" x14ac:dyDescent="0.3">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4.4" x14ac:dyDescent="0.3">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4.4" x14ac:dyDescent="0.3">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4.4" x14ac:dyDescent="0.3">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4.4" x14ac:dyDescent="0.3">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4.4" x14ac:dyDescent="0.3">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4.4" x14ac:dyDescent="0.3">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4.4" x14ac:dyDescent="0.3">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4.4" x14ac:dyDescent="0.3">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4.4" x14ac:dyDescent="0.3">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4.4" x14ac:dyDescent="0.3">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4.4" x14ac:dyDescent="0.3">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4.4" x14ac:dyDescent="0.3">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4.4" x14ac:dyDescent="0.3">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4.4" x14ac:dyDescent="0.3">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4.4" x14ac:dyDescent="0.3">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4.4" x14ac:dyDescent="0.3">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4.4" x14ac:dyDescent="0.3">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4.4" x14ac:dyDescent="0.3">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4.4" x14ac:dyDescent="0.3">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4.4" x14ac:dyDescent="0.3">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4.4" x14ac:dyDescent="0.3">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4.4" x14ac:dyDescent="0.3">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4.4" x14ac:dyDescent="0.3">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4.4" x14ac:dyDescent="0.3">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4.4" x14ac:dyDescent="0.3">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4.4" x14ac:dyDescent="0.3">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4.4" x14ac:dyDescent="0.3">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4.4" x14ac:dyDescent="0.3">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4.4" x14ac:dyDescent="0.3">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4.4" x14ac:dyDescent="0.3">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4.4" x14ac:dyDescent="0.3">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4.4" x14ac:dyDescent="0.3">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4.4" x14ac:dyDescent="0.3">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4.4" x14ac:dyDescent="0.3">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4.4" x14ac:dyDescent="0.3">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4.4" x14ac:dyDescent="0.3">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4.4" x14ac:dyDescent="0.3">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4.4" x14ac:dyDescent="0.3">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4.4" x14ac:dyDescent="0.3">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4.4" x14ac:dyDescent="0.3">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4.4" x14ac:dyDescent="0.3">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4.4" x14ac:dyDescent="0.3">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4.4" x14ac:dyDescent="0.3">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4.4" x14ac:dyDescent="0.3">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4.4" x14ac:dyDescent="0.3">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4.4" x14ac:dyDescent="0.3">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4.4" x14ac:dyDescent="0.3">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4.4" x14ac:dyDescent="0.3">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4.4" x14ac:dyDescent="0.3">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4.4" x14ac:dyDescent="0.3">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4.4" x14ac:dyDescent="0.3">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4.4" x14ac:dyDescent="0.3">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4.4" x14ac:dyDescent="0.3">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4.4" x14ac:dyDescent="0.3">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4.4" x14ac:dyDescent="0.3">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4.4" x14ac:dyDescent="0.3">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4.4" x14ac:dyDescent="0.3">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4.4" x14ac:dyDescent="0.3">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4.4" x14ac:dyDescent="0.3">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4.4" x14ac:dyDescent="0.3">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4.4" x14ac:dyDescent="0.3">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4.4" x14ac:dyDescent="0.3">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4.4" x14ac:dyDescent="0.3">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4.4" x14ac:dyDescent="0.3">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4.4" x14ac:dyDescent="0.3">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4.4" x14ac:dyDescent="0.3">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4.4" x14ac:dyDescent="0.3">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4.4" x14ac:dyDescent="0.3">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4.4" x14ac:dyDescent="0.3">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4.4" x14ac:dyDescent="0.3">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4.4" x14ac:dyDescent="0.3">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4.4" x14ac:dyDescent="0.3">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4.4" x14ac:dyDescent="0.3">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4.4" x14ac:dyDescent="0.3">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4.4" x14ac:dyDescent="0.3">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4.4" x14ac:dyDescent="0.3">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4.4" x14ac:dyDescent="0.3">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4.4" x14ac:dyDescent="0.3">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4.4" x14ac:dyDescent="0.3">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4.4" x14ac:dyDescent="0.3">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4.4" x14ac:dyDescent="0.3">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4.4" x14ac:dyDescent="0.3">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4.4" x14ac:dyDescent="0.3">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4.4" x14ac:dyDescent="0.3">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4.4" x14ac:dyDescent="0.3">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4.4" x14ac:dyDescent="0.3">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4.4" x14ac:dyDescent="0.3">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4.4" x14ac:dyDescent="0.3">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4.4" x14ac:dyDescent="0.3">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4.4" x14ac:dyDescent="0.3">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4.4" x14ac:dyDescent="0.3">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4.4" x14ac:dyDescent="0.3">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4.4" x14ac:dyDescent="0.3">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4.4" x14ac:dyDescent="0.3">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4.4" x14ac:dyDescent="0.3">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4.4" x14ac:dyDescent="0.3">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4.4" x14ac:dyDescent="0.3">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4.4" x14ac:dyDescent="0.3">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4.4" x14ac:dyDescent="0.3">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4.4" x14ac:dyDescent="0.3">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4.4" x14ac:dyDescent="0.3">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4.4" x14ac:dyDescent="0.3">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4.4" x14ac:dyDescent="0.3">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4.4" x14ac:dyDescent="0.3">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4.4" x14ac:dyDescent="0.3">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4.4" x14ac:dyDescent="0.3">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4.4" x14ac:dyDescent="0.3">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4.4" x14ac:dyDescent="0.3">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4.4" x14ac:dyDescent="0.3">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4.4" x14ac:dyDescent="0.3">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4.4" x14ac:dyDescent="0.3">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4.4" x14ac:dyDescent="0.3">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4.4" x14ac:dyDescent="0.3">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4.4" x14ac:dyDescent="0.3">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4.4" x14ac:dyDescent="0.3">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4.4" x14ac:dyDescent="0.3">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4.4" x14ac:dyDescent="0.3">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4.4" x14ac:dyDescent="0.3">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4.4" x14ac:dyDescent="0.3">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4.4" x14ac:dyDescent="0.3">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4.4" x14ac:dyDescent="0.3">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4.4" x14ac:dyDescent="0.3">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4.4" x14ac:dyDescent="0.3">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4.4" x14ac:dyDescent="0.3">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4.4" x14ac:dyDescent="0.3">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4.4" x14ac:dyDescent="0.3">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4.4" x14ac:dyDescent="0.3">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4.4" x14ac:dyDescent="0.3">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4.4" x14ac:dyDescent="0.3">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4.4" x14ac:dyDescent="0.3">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4.4" x14ac:dyDescent="0.3">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4.4" x14ac:dyDescent="0.3">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4.4" x14ac:dyDescent="0.3">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4.4" x14ac:dyDescent="0.3">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4.4" x14ac:dyDescent="0.3">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4.4" x14ac:dyDescent="0.3">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4.4" x14ac:dyDescent="0.3">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4.4" x14ac:dyDescent="0.3">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4.4" x14ac:dyDescent="0.3">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4.4" x14ac:dyDescent="0.3">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4.4" x14ac:dyDescent="0.3">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4.4" x14ac:dyDescent="0.3">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4.4" x14ac:dyDescent="0.3">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4.4" x14ac:dyDescent="0.3">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4.4" x14ac:dyDescent="0.3">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4.4" x14ac:dyDescent="0.3">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4.4" x14ac:dyDescent="0.3">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4.4" x14ac:dyDescent="0.3">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4.4" x14ac:dyDescent="0.3">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4.4" x14ac:dyDescent="0.3">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4.4" x14ac:dyDescent="0.3">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4.4" x14ac:dyDescent="0.3">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4.4" x14ac:dyDescent="0.3">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4.4" x14ac:dyDescent="0.3">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4.4" x14ac:dyDescent="0.3">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4.4" x14ac:dyDescent="0.3">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4.4" x14ac:dyDescent="0.3">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4.4" x14ac:dyDescent="0.3">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4.4" x14ac:dyDescent="0.3">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4.4" x14ac:dyDescent="0.3">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4.4" x14ac:dyDescent="0.3">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4.4" x14ac:dyDescent="0.3">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4.4" x14ac:dyDescent="0.3">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4.4" x14ac:dyDescent="0.3">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4.4" x14ac:dyDescent="0.3">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4.4" x14ac:dyDescent="0.3">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4.4" x14ac:dyDescent="0.3">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4.4" x14ac:dyDescent="0.3">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4.4" x14ac:dyDescent="0.3">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4.4" x14ac:dyDescent="0.3">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4.4" x14ac:dyDescent="0.3">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4.4" x14ac:dyDescent="0.3">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4.4" x14ac:dyDescent="0.3">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4.4" x14ac:dyDescent="0.3">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4.4" x14ac:dyDescent="0.3">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4.4" x14ac:dyDescent="0.3">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4.4" x14ac:dyDescent="0.3">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4.4" x14ac:dyDescent="0.3">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4.4" x14ac:dyDescent="0.3">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4.4" x14ac:dyDescent="0.3">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4.4" x14ac:dyDescent="0.3">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4.4" x14ac:dyDescent="0.3">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4.4" x14ac:dyDescent="0.3">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4.4" x14ac:dyDescent="0.3">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4.4" x14ac:dyDescent="0.3">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4.4" x14ac:dyDescent="0.3">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4.4" x14ac:dyDescent="0.3">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4.4" x14ac:dyDescent="0.3">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4.4" x14ac:dyDescent="0.3">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4.4" x14ac:dyDescent="0.3">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4.4" x14ac:dyDescent="0.3">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4.4" x14ac:dyDescent="0.3">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4.4" x14ac:dyDescent="0.3">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4.4" x14ac:dyDescent="0.3">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4.4" x14ac:dyDescent="0.3">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4.4" x14ac:dyDescent="0.3">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4.4" x14ac:dyDescent="0.3">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4.4" x14ac:dyDescent="0.3">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4.4" x14ac:dyDescent="0.3">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4.4" x14ac:dyDescent="0.3">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4.4" x14ac:dyDescent="0.3">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4.4" x14ac:dyDescent="0.3">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4.4" x14ac:dyDescent="0.3">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4.4" x14ac:dyDescent="0.3">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4.4" x14ac:dyDescent="0.3">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4.4" x14ac:dyDescent="0.3">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4.4" x14ac:dyDescent="0.3">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4.4" x14ac:dyDescent="0.3">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4.4" x14ac:dyDescent="0.3">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4.4" x14ac:dyDescent="0.3">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4.4" x14ac:dyDescent="0.3">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4.4" x14ac:dyDescent="0.3">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4.4" x14ac:dyDescent="0.3">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4.4" x14ac:dyDescent="0.3">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4.4" x14ac:dyDescent="0.3">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4.4" x14ac:dyDescent="0.3">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4.4" x14ac:dyDescent="0.3">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4.4" x14ac:dyDescent="0.3">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4.4" x14ac:dyDescent="0.3">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4.4" x14ac:dyDescent="0.3">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4.4" x14ac:dyDescent="0.3">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4.4" x14ac:dyDescent="0.3">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4.4" x14ac:dyDescent="0.3">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4.4" x14ac:dyDescent="0.3">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4.4" x14ac:dyDescent="0.3">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4.4" x14ac:dyDescent="0.3">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4.4" x14ac:dyDescent="0.3">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4.4" x14ac:dyDescent="0.3">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4.4" x14ac:dyDescent="0.3">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4.4" x14ac:dyDescent="0.3">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4.4" x14ac:dyDescent="0.3">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4.4" x14ac:dyDescent="0.3">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4.4" x14ac:dyDescent="0.3">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4.4" x14ac:dyDescent="0.3">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4.4" x14ac:dyDescent="0.3">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4.4" x14ac:dyDescent="0.3">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4.4" x14ac:dyDescent="0.3">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4.4" x14ac:dyDescent="0.3">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4.4" x14ac:dyDescent="0.3">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4.4" x14ac:dyDescent="0.3">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4.4" x14ac:dyDescent="0.3">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4.4" x14ac:dyDescent="0.3">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4.4" x14ac:dyDescent="0.3">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4.4" x14ac:dyDescent="0.3">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4.4" x14ac:dyDescent="0.3">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4.4" x14ac:dyDescent="0.3">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4.4" x14ac:dyDescent="0.3">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4.4" x14ac:dyDescent="0.3">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4.4" x14ac:dyDescent="0.3">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4.4" x14ac:dyDescent="0.3">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4.4" x14ac:dyDescent="0.3">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4.4" x14ac:dyDescent="0.3">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4.4" x14ac:dyDescent="0.3">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4.4" x14ac:dyDescent="0.3">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4.4" x14ac:dyDescent="0.3">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4.4" x14ac:dyDescent="0.3">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4.4" x14ac:dyDescent="0.3">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4.4" x14ac:dyDescent="0.3">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4.4" x14ac:dyDescent="0.3">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4.4" x14ac:dyDescent="0.3">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4.4" x14ac:dyDescent="0.3">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4.4" x14ac:dyDescent="0.3">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4.4" x14ac:dyDescent="0.3">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4.4" x14ac:dyDescent="0.3">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4.4" x14ac:dyDescent="0.3">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4.4" x14ac:dyDescent="0.3">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4.4" x14ac:dyDescent="0.3">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4.4" x14ac:dyDescent="0.3">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4.4" x14ac:dyDescent="0.3">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4.4" x14ac:dyDescent="0.3">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4.4" x14ac:dyDescent="0.3">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4.4" x14ac:dyDescent="0.3">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4.4" x14ac:dyDescent="0.3">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4.4" x14ac:dyDescent="0.3">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4.4" x14ac:dyDescent="0.3">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4.4" x14ac:dyDescent="0.3">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4.4" x14ac:dyDescent="0.3">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4.4" x14ac:dyDescent="0.3">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4.4" x14ac:dyDescent="0.3">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4.4" x14ac:dyDescent="0.3">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4.4" x14ac:dyDescent="0.3">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4.4" x14ac:dyDescent="0.3">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4.4" x14ac:dyDescent="0.3">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4.4" x14ac:dyDescent="0.3">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4.4" x14ac:dyDescent="0.3">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4.4" x14ac:dyDescent="0.3">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4.4" x14ac:dyDescent="0.3">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4.4" x14ac:dyDescent="0.3">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4.4" x14ac:dyDescent="0.3">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4.4" x14ac:dyDescent="0.3">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4.4" x14ac:dyDescent="0.3">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4.4" x14ac:dyDescent="0.3">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4.4" x14ac:dyDescent="0.3">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4.4" x14ac:dyDescent="0.3">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4.4" x14ac:dyDescent="0.3">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4.4" x14ac:dyDescent="0.3">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4.4" x14ac:dyDescent="0.3">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4.4" x14ac:dyDescent="0.3">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4.4" x14ac:dyDescent="0.3">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4.4" x14ac:dyDescent="0.3">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4.4" x14ac:dyDescent="0.3">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4.4" x14ac:dyDescent="0.3">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4.4" x14ac:dyDescent="0.3">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4.4" x14ac:dyDescent="0.3">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4.4" x14ac:dyDescent="0.3">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4.4" x14ac:dyDescent="0.3">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4.4" x14ac:dyDescent="0.3">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4.4" x14ac:dyDescent="0.3">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4.4" x14ac:dyDescent="0.3">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4.4" x14ac:dyDescent="0.3">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4.4" x14ac:dyDescent="0.3">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4.4" x14ac:dyDescent="0.3">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4.4" x14ac:dyDescent="0.3">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4.4" x14ac:dyDescent="0.3">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4.4" x14ac:dyDescent="0.3">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4.4" x14ac:dyDescent="0.3">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4.4" x14ac:dyDescent="0.3">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4.4" x14ac:dyDescent="0.3">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4.4" x14ac:dyDescent="0.3">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4.4" x14ac:dyDescent="0.3">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4.4" x14ac:dyDescent="0.3">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4.4" x14ac:dyDescent="0.3">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4.4" x14ac:dyDescent="0.3">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4.4" x14ac:dyDescent="0.3">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4.4" x14ac:dyDescent="0.3">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4.4" x14ac:dyDescent="0.3">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4.4" x14ac:dyDescent="0.3">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4.4" x14ac:dyDescent="0.3">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4.4" x14ac:dyDescent="0.3">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4.4" x14ac:dyDescent="0.3">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4.4" x14ac:dyDescent="0.3">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4.4" x14ac:dyDescent="0.3">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4.4" x14ac:dyDescent="0.3">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4.4" x14ac:dyDescent="0.3">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4.4" x14ac:dyDescent="0.3">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4.4" x14ac:dyDescent="0.3">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4.4" x14ac:dyDescent="0.3">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4.4" x14ac:dyDescent="0.3">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4.4" x14ac:dyDescent="0.3">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4.4" x14ac:dyDescent="0.3">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4.4" x14ac:dyDescent="0.3">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4.4" x14ac:dyDescent="0.3">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4.4" x14ac:dyDescent="0.3">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4.4" x14ac:dyDescent="0.3">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4.4" x14ac:dyDescent="0.3">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4.4" x14ac:dyDescent="0.3">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4.4" x14ac:dyDescent="0.3">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4.4" x14ac:dyDescent="0.3">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4.4" x14ac:dyDescent="0.3">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4.4" x14ac:dyDescent="0.3">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4.4" x14ac:dyDescent="0.3">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4.4" x14ac:dyDescent="0.3">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4.4" x14ac:dyDescent="0.3">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4.4" x14ac:dyDescent="0.3">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4.4" x14ac:dyDescent="0.3">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4.4" x14ac:dyDescent="0.3">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4.4" x14ac:dyDescent="0.3">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4.4" x14ac:dyDescent="0.3">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4.4" x14ac:dyDescent="0.3">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4.4" x14ac:dyDescent="0.3">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4.4" x14ac:dyDescent="0.3">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4.4" x14ac:dyDescent="0.3">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4.4" x14ac:dyDescent="0.3">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4.4" x14ac:dyDescent="0.3">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4.4" x14ac:dyDescent="0.3">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4.4" x14ac:dyDescent="0.3">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4.4" x14ac:dyDescent="0.3">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4.4" x14ac:dyDescent="0.3">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4.4" x14ac:dyDescent="0.3">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4.4" x14ac:dyDescent="0.3">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4.4" x14ac:dyDescent="0.3">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4.4" x14ac:dyDescent="0.3">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4.4" x14ac:dyDescent="0.3">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4.4" x14ac:dyDescent="0.3">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4.4" x14ac:dyDescent="0.3">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4.4" x14ac:dyDescent="0.3">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4.4" x14ac:dyDescent="0.3">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4.4" x14ac:dyDescent="0.3">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4.4" x14ac:dyDescent="0.3">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4.4" x14ac:dyDescent="0.3">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4.4" x14ac:dyDescent="0.3">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4.4" x14ac:dyDescent="0.3">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4.4" x14ac:dyDescent="0.3">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4.4" x14ac:dyDescent="0.3">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4.4" x14ac:dyDescent="0.3">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4.4" x14ac:dyDescent="0.3">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4.4" x14ac:dyDescent="0.3">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4.4" x14ac:dyDescent="0.3">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4.4" x14ac:dyDescent="0.3">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4.4" x14ac:dyDescent="0.3">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4.4" x14ac:dyDescent="0.3">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4.4" x14ac:dyDescent="0.3">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4.4" x14ac:dyDescent="0.3">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4.4" x14ac:dyDescent="0.3">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4.4" x14ac:dyDescent="0.3">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4.4" x14ac:dyDescent="0.3">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4.4" x14ac:dyDescent="0.3">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4.4" x14ac:dyDescent="0.3">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4.4" x14ac:dyDescent="0.3">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4.4" x14ac:dyDescent="0.3">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4.4" x14ac:dyDescent="0.3">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4.4" x14ac:dyDescent="0.3">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4.4" x14ac:dyDescent="0.3">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4.4" x14ac:dyDescent="0.3">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4.4" x14ac:dyDescent="0.3">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4.4" x14ac:dyDescent="0.3">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4.4" x14ac:dyDescent="0.3">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4.4" x14ac:dyDescent="0.3">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4.4" x14ac:dyDescent="0.3">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4.4" x14ac:dyDescent="0.3">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4.4" x14ac:dyDescent="0.3">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4.4" x14ac:dyDescent="0.3">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4.4" x14ac:dyDescent="0.3">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4.4" x14ac:dyDescent="0.3">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4.4" x14ac:dyDescent="0.3">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4.4" x14ac:dyDescent="0.3">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4.4" x14ac:dyDescent="0.3">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4.4" x14ac:dyDescent="0.3">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4.4" x14ac:dyDescent="0.3">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4.4" x14ac:dyDescent="0.3">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4.4" x14ac:dyDescent="0.3">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4.4" x14ac:dyDescent="0.3">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4.4" x14ac:dyDescent="0.3">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4.4" x14ac:dyDescent="0.3">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4.4" x14ac:dyDescent="0.3">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4.4" x14ac:dyDescent="0.3">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4.4" x14ac:dyDescent="0.3">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4.4" x14ac:dyDescent="0.3">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4.4" x14ac:dyDescent="0.3">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4.4" x14ac:dyDescent="0.3">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4.4" x14ac:dyDescent="0.3">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4.4" x14ac:dyDescent="0.3">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4.4" x14ac:dyDescent="0.3">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4.4" x14ac:dyDescent="0.3">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4.4" x14ac:dyDescent="0.3">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4.4" x14ac:dyDescent="0.3">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4.4" x14ac:dyDescent="0.3">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4.4" x14ac:dyDescent="0.3">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4.4" x14ac:dyDescent="0.3">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4.4" x14ac:dyDescent="0.3">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4.4" x14ac:dyDescent="0.3">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4.4" x14ac:dyDescent="0.3">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4.4" x14ac:dyDescent="0.3">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4.4" x14ac:dyDescent="0.3">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4.4" x14ac:dyDescent="0.3">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4.4" x14ac:dyDescent="0.3">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4.4" x14ac:dyDescent="0.3">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4.4" x14ac:dyDescent="0.3">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4.4" x14ac:dyDescent="0.3">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4.4" x14ac:dyDescent="0.3">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4.4" x14ac:dyDescent="0.3">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4.4" x14ac:dyDescent="0.3">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4.4" x14ac:dyDescent="0.3">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4.4" x14ac:dyDescent="0.3">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4.4" x14ac:dyDescent="0.3">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4.4" x14ac:dyDescent="0.3">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4.4" x14ac:dyDescent="0.3">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4.4" x14ac:dyDescent="0.3">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4.4" x14ac:dyDescent="0.3">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4.4" x14ac:dyDescent="0.3">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4.4" x14ac:dyDescent="0.3">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4.4" x14ac:dyDescent="0.3">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4.4" x14ac:dyDescent="0.3">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4.4" x14ac:dyDescent="0.3">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4.4" x14ac:dyDescent="0.3">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4.4" x14ac:dyDescent="0.3">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4.4" x14ac:dyDescent="0.3">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4.4" x14ac:dyDescent="0.3">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4.4" x14ac:dyDescent="0.3">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4.4" x14ac:dyDescent="0.3">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4.4" x14ac:dyDescent="0.3">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4.4" x14ac:dyDescent="0.3">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4.4" x14ac:dyDescent="0.3">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4.4" x14ac:dyDescent="0.3">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4.4" x14ac:dyDescent="0.3">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4.4" x14ac:dyDescent="0.3">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4.4" x14ac:dyDescent="0.3">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4.4" x14ac:dyDescent="0.3">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4.4" x14ac:dyDescent="0.3">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4.4" x14ac:dyDescent="0.3">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4.4" x14ac:dyDescent="0.3">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4.4" x14ac:dyDescent="0.3">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4.4" x14ac:dyDescent="0.3">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4.4" x14ac:dyDescent="0.3">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4.4" x14ac:dyDescent="0.3">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4.4" x14ac:dyDescent="0.3">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4.4" x14ac:dyDescent="0.3">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4.4" x14ac:dyDescent="0.3">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4.4" x14ac:dyDescent="0.3">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4.4" x14ac:dyDescent="0.3">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4.4" x14ac:dyDescent="0.3">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4.4" x14ac:dyDescent="0.3">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4.4" x14ac:dyDescent="0.3">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4.4" x14ac:dyDescent="0.3">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4.4" x14ac:dyDescent="0.3">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4.4" x14ac:dyDescent="0.3">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4.4" x14ac:dyDescent="0.3">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4.4" x14ac:dyDescent="0.3">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4.4" x14ac:dyDescent="0.3">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4.4" x14ac:dyDescent="0.3">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4.4" x14ac:dyDescent="0.3">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4.4" x14ac:dyDescent="0.3">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4.4" x14ac:dyDescent="0.3">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4.4" x14ac:dyDescent="0.3">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4.4" x14ac:dyDescent="0.3">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4.4" x14ac:dyDescent="0.3">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4.4" x14ac:dyDescent="0.3">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4.4" x14ac:dyDescent="0.3">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4.4" x14ac:dyDescent="0.3">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4.4" x14ac:dyDescent="0.3">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4.4" x14ac:dyDescent="0.3">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4.4" x14ac:dyDescent="0.3">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4.4" x14ac:dyDescent="0.3">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4.4" x14ac:dyDescent="0.3">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4.4" x14ac:dyDescent="0.3">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4.4" x14ac:dyDescent="0.3">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4.4" x14ac:dyDescent="0.3">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4.4" x14ac:dyDescent="0.3">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4.4" x14ac:dyDescent="0.3">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4.4" x14ac:dyDescent="0.3">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4.4" x14ac:dyDescent="0.3">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4.4" x14ac:dyDescent="0.3">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4.4" x14ac:dyDescent="0.3">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4.4" x14ac:dyDescent="0.3">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4.4" x14ac:dyDescent="0.3">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4.4" x14ac:dyDescent="0.3">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4.4" x14ac:dyDescent="0.3">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4.4" x14ac:dyDescent="0.3">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4.4" x14ac:dyDescent="0.3">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4.4" x14ac:dyDescent="0.3">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4.4" x14ac:dyDescent="0.3">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4.4" x14ac:dyDescent="0.3">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4.4" x14ac:dyDescent="0.3">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4.4" x14ac:dyDescent="0.3">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4.4" x14ac:dyDescent="0.3">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4.4" x14ac:dyDescent="0.3">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4.4" x14ac:dyDescent="0.3">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4.4" x14ac:dyDescent="0.3">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4.4" x14ac:dyDescent="0.3">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4.4" x14ac:dyDescent="0.3">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4.4" x14ac:dyDescent="0.3">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4.4" x14ac:dyDescent="0.3">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4.4" x14ac:dyDescent="0.3">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4.4" x14ac:dyDescent="0.3">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4.4" x14ac:dyDescent="0.3">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4.4" x14ac:dyDescent="0.3">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4.4" x14ac:dyDescent="0.3">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4.4" x14ac:dyDescent="0.3">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4.4" x14ac:dyDescent="0.3">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4.4" x14ac:dyDescent="0.3">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4.4" x14ac:dyDescent="0.3">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4.4" x14ac:dyDescent="0.3">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4.4" x14ac:dyDescent="0.3">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4.4" x14ac:dyDescent="0.3">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4.4" x14ac:dyDescent="0.3">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4.4" x14ac:dyDescent="0.3">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4.4" x14ac:dyDescent="0.3">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4.4" x14ac:dyDescent="0.3">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4.4" x14ac:dyDescent="0.3">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4.4" x14ac:dyDescent="0.3">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4.4" x14ac:dyDescent="0.3">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4.4" x14ac:dyDescent="0.3">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4.4" x14ac:dyDescent="0.3">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4.4" x14ac:dyDescent="0.3">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4.4" x14ac:dyDescent="0.3">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4.4" x14ac:dyDescent="0.3">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4.4" x14ac:dyDescent="0.3">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4.4" x14ac:dyDescent="0.3">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4.4" x14ac:dyDescent="0.3">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4.4" x14ac:dyDescent="0.3">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sheetData>
  <mergeCells count="4">
    <mergeCell ref="A2:F2"/>
    <mergeCell ref="A3:F3"/>
    <mergeCell ref="A4:F4"/>
    <mergeCell ref="A7:D7"/>
  </mergeCells>
  <hyperlinks>
    <hyperlink ref="A7" r:id="rId1" display="This publication has been made possible with the financial support of the Department for Business, Energy and Industrial Strategy (BEIS) in the context of the UK PACT (Partnering for Accelerated Climate Transitions) flagship programme under the Internatio"/>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opLeftCell="A13" zoomScale="115" zoomScaleNormal="115" workbookViewId="0">
      <selection activeCell="A15" sqref="A10:A15"/>
    </sheetView>
  </sheetViews>
  <sheetFormatPr defaultRowHeight="14.4" x14ac:dyDescent="0.3"/>
  <cols>
    <col min="1" max="1" width="151.21875" style="26" customWidth="1"/>
  </cols>
  <sheetData>
    <row r="1" spans="1:1" x14ac:dyDescent="0.3">
      <c r="A1" s="27" t="s">
        <v>831</v>
      </c>
    </row>
    <row r="2" spans="1:1" ht="26.4" x14ac:dyDescent="0.3">
      <c r="A2" s="23" t="s">
        <v>834</v>
      </c>
    </row>
    <row r="3" spans="1:1" ht="27" x14ac:dyDescent="0.3">
      <c r="A3" s="24" t="s">
        <v>835</v>
      </c>
    </row>
    <row r="4" spans="1:1" ht="27" x14ac:dyDescent="0.3">
      <c r="A4" s="24" t="s">
        <v>836</v>
      </c>
    </row>
    <row r="5" spans="1:1" s="26" customFormat="1" ht="27.6" customHeight="1" x14ac:dyDescent="0.3">
      <c r="A5" s="24" t="s">
        <v>837</v>
      </c>
    </row>
    <row r="6" spans="1:1" x14ac:dyDescent="0.3">
      <c r="A6" s="25" t="s">
        <v>838</v>
      </c>
    </row>
    <row r="7" spans="1:1" ht="27" x14ac:dyDescent="0.3">
      <c r="A7" s="25" t="s">
        <v>839</v>
      </c>
    </row>
    <row r="8" spans="1:1" x14ac:dyDescent="0.3">
      <c r="A8" s="24" t="s">
        <v>832</v>
      </c>
    </row>
    <row r="9" spans="1:1" x14ac:dyDescent="0.3">
      <c r="A9" s="27" t="s">
        <v>833</v>
      </c>
    </row>
    <row r="10" spans="1:1" ht="27" x14ac:dyDescent="0.3">
      <c r="A10" s="24" t="s">
        <v>840</v>
      </c>
    </row>
    <row r="11" spans="1:1" ht="15.6" customHeight="1" x14ac:dyDescent="0.3">
      <c r="A11" s="24" t="s">
        <v>884</v>
      </c>
    </row>
    <row r="12" spans="1:1" ht="159" x14ac:dyDescent="0.3">
      <c r="A12" s="25" t="s">
        <v>843</v>
      </c>
    </row>
    <row r="13" spans="1:1" ht="106.2" x14ac:dyDescent="0.3">
      <c r="A13" s="25" t="s">
        <v>844</v>
      </c>
    </row>
    <row r="14" spans="1:1" x14ac:dyDescent="0.3">
      <c r="A14" s="25" t="s">
        <v>845</v>
      </c>
    </row>
    <row r="15" spans="1:1" ht="18" customHeight="1" x14ac:dyDescent="0.3">
      <c r="A15" s="25" t="s">
        <v>885</v>
      </c>
    </row>
    <row r="16" spans="1:1" x14ac:dyDescent="0.3">
      <c r="A16" s="22" t="s">
        <v>841</v>
      </c>
    </row>
    <row r="17" spans="1:1" x14ac:dyDescent="0.3">
      <c r="A17" s="28" t="s">
        <v>24</v>
      </c>
    </row>
    <row r="18" spans="1:1" x14ac:dyDescent="0.3">
      <c r="A18" s="28" t="s">
        <v>842</v>
      </c>
    </row>
    <row r="19" spans="1:1" x14ac:dyDescent="0.3">
      <c r="A19" s="28" t="s">
        <v>722</v>
      </c>
    </row>
    <row r="20" spans="1:1" x14ac:dyDescent="0.3">
      <c r="A20" s="28" t="s">
        <v>412</v>
      </c>
    </row>
  </sheetData>
  <hyperlinks>
    <hyperlink ref="A17" location="Government!A1" display="Government"/>
    <hyperlink ref="A18" location="' Development Finance (DFI)'!A1" display="Development Finance (DFI)"/>
    <hyperlink ref="A19" location="Commercial!A1" display="Commercial"/>
    <hyperlink ref="A20" location="Other!A1" display="Other"/>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34"/>
  <sheetViews>
    <sheetView topLeftCell="G1" zoomScale="70" zoomScaleNormal="70" workbookViewId="0">
      <pane ySplit="1" topLeftCell="A20" activePane="bottomLeft" state="frozen"/>
      <selection pane="bottomLeft" activeCell="L2" sqref="L2"/>
    </sheetView>
  </sheetViews>
  <sheetFormatPr defaultColWidth="9.109375" defaultRowHeight="14.4" x14ac:dyDescent="0.3"/>
  <cols>
    <col min="1" max="1" width="14.33203125" style="1" bestFit="1" customWidth="1"/>
    <col min="2" max="2" width="15.88671875" style="1" bestFit="1" customWidth="1"/>
    <col min="3" max="3" width="41" style="1" bestFit="1" customWidth="1"/>
    <col min="4" max="4" width="24.88671875" style="1" bestFit="1" customWidth="1"/>
    <col min="5" max="5" width="35.44140625" style="1" bestFit="1" customWidth="1"/>
    <col min="6" max="6" width="34" style="1" bestFit="1" customWidth="1"/>
    <col min="7" max="7" width="23.44140625" style="1" bestFit="1" customWidth="1"/>
    <col min="8" max="8" width="28.6640625" style="1" bestFit="1" customWidth="1"/>
    <col min="9" max="9" width="82.88671875" style="1" bestFit="1" customWidth="1"/>
    <col min="10" max="10" width="26.44140625" style="1" bestFit="1" customWidth="1"/>
    <col min="11" max="11" width="23.33203125" style="1" customWidth="1"/>
    <col min="12" max="12" width="27.88671875" style="1" bestFit="1" customWidth="1"/>
    <col min="13" max="13" width="18.88671875" style="1" bestFit="1" customWidth="1"/>
    <col min="14" max="14" width="20.5546875" style="1" bestFit="1" customWidth="1"/>
    <col min="15" max="15" width="24.33203125" style="1" bestFit="1" customWidth="1"/>
    <col min="16" max="16384" width="9.109375" style="1"/>
  </cols>
  <sheetData>
    <row r="1" spans="1:15" s="2" customFormat="1" ht="43.2" x14ac:dyDescent="0.3">
      <c r="A1" s="3" t="s">
        <v>13</v>
      </c>
      <c r="B1" s="3" t="s">
        <v>7</v>
      </c>
      <c r="C1" s="3" t="s">
        <v>8</v>
      </c>
      <c r="D1" s="3" t="s">
        <v>10</v>
      </c>
      <c r="E1" s="3" t="s">
        <v>11</v>
      </c>
      <c r="F1" s="3" t="s">
        <v>20</v>
      </c>
      <c r="G1" s="3" t="s">
        <v>9</v>
      </c>
      <c r="H1" s="3" t="s">
        <v>19</v>
      </c>
      <c r="I1" s="3" t="s">
        <v>0</v>
      </c>
      <c r="J1" s="3" t="s">
        <v>12</v>
      </c>
      <c r="K1" s="3" t="s">
        <v>14</v>
      </c>
      <c r="L1" s="3" t="s">
        <v>16</v>
      </c>
      <c r="M1" s="3" t="s">
        <v>17</v>
      </c>
      <c r="N1" s="3" t="s">
        <v>18</v>
      </c>
      <c r="O1" s="3" t="s">
        <v>15</v>
      </c>
    </row>
    <row r="2" spans="1:15" ht="158.4" x14ac:dyDescent="0.3">
      <c r="A2" s="1" t="s">
        <v>373</v>
      </c>
      <c r="B2" s="1" t="s">
        <v>24</v>
      </c>
      <c r="C2" s="1" t="s">
        <v>49</v>
      </c>
      <c r="D2" s="1" t="s">
        <v>53</v>
      </c>
      <c r="E2" s="1" t="s">
        <v>49</v>
      </c>
      <c r="F2" s="1" t="s">
        <v>25</v>
      </c>
      <c r="G2" s="1" t="s">
        <v>32</v>
      </c>
      <c r="H2" s="1" t="s">
        <v>379</v>
      </c>
      <c r="I2" s="1" t="s">
        <v>380</v>
      </c>
      <c r="J2" s="1" t="s">
        <v>818</v>
      </c>
      <c r="K2" s="1" t="s">
        <v>823</v>
      </c>
      <c r="L2" s="1" t="s">
        <v>376</v>
      </c>
      <c r="M2" s="1" t="s">
        <v>378</v>
      </c>
      <c r="N2" s="1" t="s">
        <v>377</v>
      </c>
      <c r="O2" s="1" t="s">
        <v>45</v>
      </c>
    </row>
    <row r="3" spans="1:15" ht="187.2" x14ac:dyDescent="0.3">
      <c r="A3" s="1" t="s">
        <v>373</v>
      </c>
      <c r="B3" s="1" t="s">
        <v>24</v>
      </c>
      <c r="C3" s="1" t="s">
        <v>375</v>
      </c>
      <c r="D3" s="1" t="s">
        <v>54</v>
      </c>
      <c r="E3" s="1" t="s">
        <v>51</v>
      </c>
      <c r="F3" s="1" t="s">
        <v>27</v>
      </c>
      <c r="G3" s="1" t="s">
        <v>32</v>
      </c>
      <c r="H3" s="1" t="s">
        <v>36</v>
      </c>
      <c r="I3" s="1" t="s">
        <v>28</v>
      </c>
      <c r="J3" s="1" t="s">
        <v>818</v>
      </c>
      <c r="K3" s="29" t="s">
        <v>31</v>
      </c>
      <c r="L3" s="1" t="s">
        <v>38</v>
      </c>
      <c r="M3" s="1" t="s">
        <v>43</v>
      </c>
      <c r="N3" s="1" t="s">
        <v>40</v>
      </c>
      <c r="O3" s="1" t="s">
        <v>47</v>
      </c>
    </row>
    <row r="4" spans="1:15" ht="129.6" hidden="1" x14ac:dyDescent="0.3">
      <c r="A4" s="1" t="s">
        <v>373</v>
      </c>
      <c r="B4" s="1" t="s">
        <v>24</v>
      </c>
      <c r="C4" s="1" t="s">
        <v>52</v>
      </c>
      <c r="D4" s="1" t="s">
        <v>383</v>
      </c>
      <c r="E4" s="1" t="s">
        <v>29</v>
      </c>
      <c r="F4" s="1" t="s">
        <v>374</v>
      </c>
      <c r="G4" s="1" t="s">
        <v>34</v>
      </c>
      <c r="H4" s="1" t="s">
        <v>37</v>
      </c>
      <c r="I4" s="1" t="s">
        <v>30</v>
      </c>
      <c r="J4" s="1" t="s">
        <v>817</v>
      </c>
      <c r="K4" s="1" t="s">
        <v>828</v>
      </c>
      <c r="M4" s="1" t="s">
        <v>44</v>
      </c>
      <c r="N4" s="1" t="s">
        <v>41</v>
      </c>
      <c r="O4" s="1" t="s">
        <v>48</v>
      </c>
    </row>
    <row r="5" spans="1:15" ht="43.2" hidden="1" x14ac:dyDescent="0.3">
      <c r="A5" s="1" t="s">
        <v>373</v>
      </c>
      <c r="B5" s="1" t="s">
        <v>24</v>
      </c>
      <c r="C5" s="1" t="s">
        <v>382</v>
      </c>
      <c r="D5" s="1" t="s">
        <v>53</v>
      </c>
      <c r="E5" s="1" t="s">
        <v>55</v>
      </c>
      <c r="F5" s="1" t="s">
        <v>72</v>
      </c>
      <c r="G5" s="1" t="s">
        <v>134</v>
      </c>
      <c r="H5" s="1" t="s">
        <v>37</v>
      </c>
      <c r="I5" s="1" t="s">
        <v>98</v>
      </c>
      <c r="J5" s="1" t="s">
        <v>816</v>
      </c>
      <c r="K5" s="1" t="s">
        <v>819</v>
      </c>
      <c r="O5" s="1" t="str">
        <f>HYPERLINK("http://www.energy.gov.za/files/eee_frame.html","www.energy.gov.za/files/eee_frame.html")</f>
        <v>www.energy.gov.za/files/eee_frame.html</v>
      </c>
    </row>
    <row r="6" spans="1:15" ht="86.4" hidden="1" x14ac:dyDescent="0.3">
      <c r="A6" s="1" t="s">
        <v>373</v>
      </c>
      <c r="B6" s="1" t="s">
        <v>24</v>
      </c>
      <c r="C6" s="1" t="s">
        <v>386</v>
      </c>
      <c r="D6" s="1" t="s">
        <v>383</v>
      </c>
      <c r="E6" s="1" t="s">
        <v>384</v>
      </c>
      <c r="F6" s="1" t="s">
        <v>73</v>
      </c>
      <c r="G6" s="1" t="s">
        <v>135</v>
      </c>
      <c r="H6" s="1" t="s">
        <v>37</v>
      </c>
      <c r="I6" s="1" t="s">
        <v>385</v>
      </c>
      <c r="J6" s="1" t="s">
        <v>817</v>
      </c>
      <c r="K6" s="1" t="s">
        <v>828</v>
      </c>
      <c r="L6" s="1" t="s">
        <v>155</v>
      </c>
      <c r="M6" s="1" t="s">
        <v>190</v>
      </c>
      <c r="N6" s="1" t="s">
        <v>171</v>
      </c>
      <c r="O6" s="1" t="str">
        <f>HYPERLINK("http://www.dhet.gov.za/","www.dhet.gov.za")</f>
        <v>www.dhet.gov.za</v>
      </c>
    </row>
    <row r="7" spans="1:15" ht="57.6" x14ac:dyDescent="0.3">
      <c r="A7" s="1" t="s">
        <v>373</v>
      </c>
      <c r="B7" s="1" t="s">
        <v>24</v>
      </c>
      <c r="C7" s="1" t="s">
        <v>387</v>
      </c>
      <c r="D7" s="1" t="s">
        <v>53</v>
      </c>
      <c r="E7" s="1" t="s">
        <v>56</v>
      </c>
      <c r="F7" s="1" t="s">
        <v>74</v>
      </c>
      <c r="G7" s="1" t="s">
        <v>136</v>
      </c>
      <c r="H7" s="1" t="s">
        <v>37</v>
      </c>
      <c r="I7" s="1" t="s">
        <v>99</v>
      </c>
      <c r="J7" s="1" t="s">
        <v>817</v>
      </c>
      <c r="K7" s="1" t="s">
        <v>828</v>
      </c>
      <c r="L7" s="1" t="s">
        <v>156</v>
      </c>
      <c r="M7" s="1" t="str">
        <f>HYPERLINK("mailto:Dimakatso.Mokone@dst.gov.za","Dimakatso.Mokone@dst.gov.za")</f>
        <v>Dimakatso.Mokone@dst.gov.za</v>
      </c>
      <c r="N7" s="1" t="s">
        <v>172</v>
      </c>
      <c r="O7" s="1" t="str">
        <f>HYPERLINK("http://www.dst.gov.za/r-d","www.dst.gov.za/r-d")</f>
        <v>www.dst.gov.za/r-d</v>
      </c>
    </row>
    <row r="8" spans="1:15" ht="72" hidden="1" x14ac:dyDescent="0.3">
      <c r="A8" s="1" t="s">
        <v>373</v>
      </c>
      <c r="B8" s="1" t="s">
        <v>24</v>
      </c>
      <c r="C8" s="1" t="s">
        <v>388</v>
      </c>
      <c r="D8" s="1" t="s">
        <v>53</v>
      </c>
      <c r="E8" s="1" t="s">
        <v>388</v>
      </c>
      <c r="F8" s="1" t="s">
        <v>75</v>
      </c>
      <c r="G8" s="1" t="s">
        <v>134</v>
      </c>
      <c r="H8" s="1" t="s">
        <v>142</v>
      </c>
      <c r="I8" s="1" t="s">
        <v>100</v>
      </c>
      <c r="J8" s="1" t="s">
        <v>817</v>
      </c>
      <c r="K8" s="1" t="s">
        <v>828</v>
      </c>
      <c r="N8" s="1" t="s">
        <v>173</v>
      </c>
      <c r="O8" s="1" t="str">
        <f>HYPERLINK("http://www.dsbd.gov.za/?page_id=1218","http://www.dsbd.gov.za/")</f>
        <v>http://www.dsbd.gov.za/</v>
      </c>
    </row>
    <row r="9" spans="1:15" ht="129.6" hidden="1" x14ac:dyDescent="0.3">
      <c r="A9" s="1" t="s">
        <v>373</v>
      </c>
      <c r="B9" s="1" t="s">
        <v>24</v>
      </c>
      <c r="C9" s="1" t="s">
        <v>388</v>
      </c>
      <c r="D9" s="1" t="s">
        <v>53</v>
      </c>
      <c r="E9" s="1" t="s">
        <v>388</v>
      </c>
      <c r="F9" s="1" t="s">
        <v>76</v>
      </c>
      <c r="G9" s="1" t="s">
        <v>134</v>
      </c>
      <c r="H9" s="1" t="s">
        <v>143</v>
      </c>
      <c r="I9" s="1" t="s">
        <v>389</v>
      </c>
      <c r="J9" s="1" t="s">
        <v>817</v>
      </c>
      <c r="K9" s="1" t="s">
        <v>828</v>
      </c>
      <c r="O9" s="1" t="str">
        <f>HYPERLINK("http://www.dsbd.gov.za/?page_id=1222","http://www.dsbd.gov.za/")</f>
        <v>http://www.dsbd.gov.za/</v>
      </c>
    </row>
    <row r="10" spans="1:15" ht="57.6" hidden="1" x14ac:dyDescent="0.3">
      <c r="A10" s="1" t="s">
        <v>373</v>
      </c>
      <c r="B10" s="1" t="s">
        <v>24</v>
      </c>
      <c r="C10" s="1" t="s">
        <v>388</v>
      </c>
      <c r="D10" s="1" t="s">
        <v>53</v>
      </c>
      <c r="E10" s="1" t="s">
        <v>388</v>
      </c>
      <c r="F10" s="1" t="s">
        <v>77</v>
      </c>
      <c r="G10" s="1" t="s">
        <v>134</v>
      </c>
      <c r="H10" s="1" t="s">
        <v>144</v>
      </c>
      <c r="I10" s="1" t="s">
        <v>101</v>
      </c>
      <c r="J10" s="1" t="s">
        <v>817</v>
      </c>
      <c r="K10" s="1" t="s">
        <v>828</v>
      </c>
      <c r="L10" s="1" t="s">
        <v>157</v>
      </c>
      <c r="N10" s="1" t="s">
        <v>174</v>
      </c>
      <c r="O10" s="1" t="str">
        <f>HYPERLINK("https://www.idc.co.za/green-tourism-incentive-programme/","www.idc.co.za")</f>
        <v>www.idc.co.za</v>
      </c>
    </row>
    <row r="11" spans="1:15" ht="72" x14ac:dyDescent="0.3">
      <c r="A11" s="1" t="s">
        <v>373</v>
      </c>
      <c r="B11" s="1" t="s">
        <v>24</v>
      </c>
      <c r="C11" s="1" t="s">
        <v>49</v>
      </c>
      <c r="D11" s="1" t="s">
        <v>53</v>
      </c>
      <c r="E11" s="1" t="s">
        <v>49</v>
      </c>
      <c r="F11" s="1" t="s">
        <v>79</v>
      </c>
      <c r="G11" s="1" t="s">
        <v>136</v>
      </c>
      <c r="H11" s="1" t="s">
        <v>146</v>
      </c>
      <c r="I11" s="1" t="s">
        <v>104</v>
      </c>
      <c r="J11" s="1" t="s">
        <v>817</v>
      </c>
      <c r="K11" s="1" t="s">
        <v>828</v>
      </c>
      <c r="L11" s="1" t="s">
        <v>159</v>
      </c>
      <c r="M11" s="1" t="s">
        <v>191</v>
      </c>
      <c r="N11" s="1" t="s">
        <v>176</v>
      </c>
      <c r="O11" s="1" t="str">
        <f>HYPERLINK("http://www.thedti.gov.za/financial_assistance/financial_incentive.jsp?id=45&amp;subthemeid=26","www.thedti.gov.za/financial_assistance/")</f>
        <v>www.thedti.gov.za/financial_assistance/</v>
      </c>
    </row>
    <row r="12" spans="1:15" ht="158.4" hidden="1" x14ac:dyDescent="0.3">
      <c r="A12" s="1" t="s">
        <v>373</v>
      </c>
      <c r="B12" s="1" t="s">
        <v>24</v>
      </c>
      <c r="C12" s="1" t="s">
        <v>49</v>
      </c>
      <c r="D12" s="1" t="s">
        <v>53</v>
      </c>
      <c r="E12" s="1" t="s">
        <v>49</v>
      </c>
      <c r="F12" s="1" t="s">
        <v>81</v>
      </c>
      <c r="G12" s="1" t="s">
        <v>134</v>
      </c>
      <c r="H12" s="1" t="s">
        <v>394</v>
      </c>
      <c r="I12" s="1" t="s">
        <v>393</v>
      </c>
      <c r="J12" s="1" t="s">
        <v>817</v>
      </c>
      <c r="K12" s="1" t="s">
        <v>828</v>
      </c>
      <c r="M12" s="1" t="s">
        <v>391</v>
      </c>
      <c r="N12" s="5" t="s">
        <v>392</v>
      </c>
      <c r="O12" s="1" t="str">
        <f t="shared" ref="O12:O23" si="0">HYPERLINK("http://www.thedti.gov.za/","www.thedti.gov.za")</f>
        <v>www.thedti.gov.za</v>
      </c>
    </row>
    <row r="13" spans="1:15" ht="28.8" hidden="1" x14ac:dyDescent="0.3">
      <c r="A13" s="1" t="s">
        <v>373</v>
      </c>
      <c r="B13" s="1" t="s">
        <v>24</v>
      </c>
      <c r="C13" s="1" t="s">
        <v>49</v>
      </c>
      <c r="D13" s="1" t="s">
        <v>53</v>
      </c>
      <c r="E13" s="1" t="s">
        <v>49</v>
      </c>
      <c r="F13" s="1" t="s">
        <v>82</v>
      </c>
      <c r="G13" s="1" t="s">
        <v>134</v>
      </c>
      <c r="H13" s="1" t="s">
        <v>395</v>
      </c>
      <c r="I13" s="1" t="s">
        <v>106</v>
      </c>
      <c r="J13" s="1" t="s">
        <v>817</v>
      </c>
      <c r="K13" s="1" t="s">
        <v>828</v>
      </c>
      <c r="L13" s="1" t="s">
        <v>161</v>
      </c>
      <c r="M13" s="1" t="s">
        <v>192</v>
      </c>
      <c r="N13" s="1" t="s">
        <v>178</v>
      </c>
      <c r="O13" s="1" t="str">
        <f t="shared" si="0"/>
        <v>www.thedti.gov.za</v>
      </c>
    </row>
    <row r="14" spans="1:15" ht="57.6" hidden="1" x14ac:dyDescent="0.3">
      <c r="A14" s="1" t="s">
        <v>373</v>
      </c>
      <c r="B14" s="1" t="s">
        <v>24</v>
      </c>
      <c r="C14" s="1" t="s">
        <v>49</v>
      </c>
      <c r="D14" s="1" t="s">
        <v>53</v>
      </c>
      <c r="E14" s="1" t="s">
        <v>49</v>
      </c>
      <c r="F14" s="1" t="s">
        <v>396</v>
      </c>
      <c r="G14" s="1" t="s">
        <v>134</v>
      </c>
      <c r="H14" s="1" t="s">
        <v>397</v>
      </c>
      <c r="I14" s="1" t="s">
        <v>107</v>
      </c>
      <c r="J14" s="1" t="s">
        <v>817</v>
      </c>
      <c r="K14" s="1" t="s">
        <v>828</v>
      </c>
      <c r="O14" s="1" t="str">
        <f t="shared" si="0"/>
        <v>www.thedti.gov.za</v>
      </c>
    </row>
    <row r="15" spans="1:15" ht="72" hidden="1" x14ac:dyDescent="0.3">
      <c r="A15" s="1" t="s">
        <v>373</v>
      </c>
      <c r="B15" s="1" t="s">
        <v>24</v>
      </c>
      <c r="C15" s="1" t="s">
        <v>49</v>
      </c>
      <c r="D15" s="1" t="s">
        <v>53</v>
      </c>
      <c r="E15" s="1" t="s">
        <v>49</v>
      </c>
      <c r="F15" s="1" t="s">
        <v>83</v>
      </c>
      <c r="G15" s="1" t="s">
        <v>134</v>
      </c>
      <c r="H15" s="1" t="s">
        <v>398</v>
      </c>
      <c r="I15" s="1" t="s">
        <v>108</v>
      </c>
      <c r="J15" s="1" t="s">
        <v>817</v>
      </c>
      <c r="K15" s="1" t="s">
        <v>828</v>
      </c>
      <c r="O15" s="1" t="str">
        <f t="shared" si="0"/>
        <v>www.thedti.gov.za</v>
      </c>
    </row>
    <row r="16" spans="1:15" ht="100.8" hidden="1" x14ac:dyDescent="0.3">
      <c r="A16" s="1" t="s">
        <v>373</v>
      </c>
      <c r="B16" s="1" t="s">
        <v>24</v>
      </c>
      <c r="C16" s="1" t="s">
        <v>49</v>
      </c>
      <c r="D16" s="1" t="s">
        <v>53</v>
      </c>
      <c r="E16" s="1" t="s">
        <v>49</v>
      </c>
      <c r="F16" s="1" t="s">
        <v>84</v>
      </c>
      <c r="G16" s="1" t="s">
        <v>134</v>
      </c>
      <c r="H16" s="1" t="s">
        <v>37</v>
      </c>
      <c r="I16" s="1" t="s">
        <v>399</v>
      </c>
      <c r="J16" s="1" t="s">
        <v>817</v>
      </c>
      <c r="K16" s="1" t="s">
        <v>828</v>
      </c>
      <c r="O16" s="1" t="str">
        <f t="shared" si="0"/>
        <v>www.thedti.gov.za</v>
      </c>
    </row>
    <row r="17" spans="1:15" ht="86.4" hidden="1" x14ac:dyDescent="0.3">
      <c r="A17" s="1" t="s">
        <v>373</v>
      </c>
      <c r="B17" s="1" t="s">
        <v>24</v>
      </c>
      <c r="C17" s="1" t="s">
        <v>49</v>
      </c>
      <c r="D17" s="1" t="s">
        <v>53</v>
      </c>
      <c r="E17" s="1" t="s">
        <v>49</v>
      </c>
      <c r="F17" s="1" t="s">
        <v>85</v>
      </c>
      <c r="G17" s="1" t="s">
        <v>137</v>
      </c>
      <c r="H17" s="1" t="s">
        <v>37</v>
      </c>
      <c r="I17" s="1" t="s">
        <v>109</v>
      </c>
      <c r="J17" s="1" t="s">
        <v>817</v>
      </c>
      <c r="K17" s="1" t="s">
        <v>828</v>
      </c>
      <c r="N17" s="1" t="s">
        <v>179</v>
      </c>
      <c r="O17" s="1" t="str">
        <f t="shared" si="0"/>
        <v>www.thedti.gov.za</v>
      </c>
    </row>
    <row r="18" spans="1:15" ht="43.2" hidden="1" x14ac:dyDescent="0.3">
      <c r="A18" s="1" t="s">
        <v>373</v>
      </c>
      <c r="B18" s="1" t="s">
        <v>24</v>
      </c>
      <c r="C18" s="1" t="s">
        <v>49</v>
      </c>
      <c r="D18" s="1" t="s">
        <v>53</v>
      </c>
      <c r="E18" s="1" t="s">
        <v>49</v>
      </c>
      <c r="F18" s="1" t="s">
        <v>86</v>
      </c>
      <c r="G18" s="1" t="s">
        <v>134</v>
      </c>
      <c r="H18" s="1" t="s">
        <v>147</v>
      </c>
      <c r="I18" s="1" t="s">
        <v>110</v>
      </c>
      <c r="K18" s="1" t="s">
        <v>823</v>
      </c>
      <c r="L18" s="1" t="s">
        <v>162</v>
      </c>
      <c r="M18" s="1" t="str">
        <f>HYPERLINK("mailto:schiloane@thedti.gov.za","schiloane@thedti.gov.za ")</f>
        <v>schiloane@thedti.gov.za </v>
      </c>
      <c r="N18" s="1" t="s">
        <v>180</v>
      </c>
      <c r="O18" s="1" t="str">
        <f>HYPERLINK("https://www.thedti.gov.za/financial_assistance/financial_incentive.jsp?id=69&amp;subthemeid=","https://www.thedti.gov.za/")</f>
        <v>https://www.thedti.gov.za/</v>
      </c>
    </row>
    <row r="19" spans="1:15" ht="86.4" hidden="1" x14ac:dyDescent="0.3">
      <c r="A19" s="1" t="s">
        <v>373</v>
      </c>
      <c r="B19" s="1" t="s">
        <v>24</v>
      </c>
      <c r="C19" s="1" t="s">
        <v>49</v>
      </c>
      <c r="D19" s="1" t="s">
        <v>53</v>
      </c>
      <c r="E19" s="1" t="s">
        <v>49</v>
      </c>
      <c r="F19" s="1" t="s">
        <v>97</v>
      </c>
      <c r="G19" s="1" t="s">
        <v>135</v>
      </c>
      <c r="H19" s="1" t="s">
        <v>154</v>
      </c>
      <c r="I19" s="1" t="s">
        <v>129</v>
      </c>
      <c r="J19" s="1" t="s">
        <v>817</v>
      </c>
      <c r="K19" s="1" t="s">
        <v>828</v>
      </c>
      <c r="L19" s="1" t="s">
        <v>170</v>
      </c>
      <c r="M19" s="1" t="str">
        <f>HYPERLINK("JKoko@thedti.gov.za","JKoko@thedti.gov.za")</f>
        <v>JKoko@thedti.gov.za</v>
      </c>
      <c r="N19" s="1" t="s">
        <v>189</v>
      </c>
      <c r="O19" s="1" t="str">
        <f>HYPERLINK("https://www.thedti.gov.za/financial_assistance/financial_incentive.jsp?id=4&amp;subthemeid=26","https://www.thedti.gov.za/")</f>
        <v>https://www.thedti.gov.za/</v>
      </c>
    </row>
    <row r="20" spans="1:15" ht="86.4" x14ac:dyDescent="0.3">
      <c r="A20" s="1" t="s">
        <v>373</v>
      </c>
      <c r="B20" s="1" t="s">
        <v>412</v>
      </c>
      <c r="C20" s="1" t="s">
        <v>419</v>
      </c>
      <c r="D20" s="1" t="s">
        <v>401</v>
      </c>
      <c r="E20" s="1" t="s">
        <v>59</v>
      </c>
      <c r="F20" s="1" t="s">
        <v>400</v>
      </c>
      <c r="G20" s="1" t="s">
        <v>136</v>
      </c>
      <c r="H20" s="1" t="s">
        <v>37</v>
      </c>
      <c r="I20" s="1" t="s">
        <v>111</v>
      </c>
      <c r="J20" s="1" t="s">
        <v>817</v>
      </c>
      <c r="K20" s="1" t="s">
        <v>819</v>
      </c>
      <c r="L20" s="1" t="s">
        <v>163</v>
      </c>
      <c r="M20" s="1" t="s">
        <v>193</v>
      </c>
      <c r="O20" s="1" t="str">
        <f>HYPERLINK("http://www.eskom.co.za/sites/idm/pages/whattsupaccordion.aspx?tabid=pnl_24","www.eskom.co.za/")</f>
        <v>www.eskom.co.za/</v>
      </c>
    </row>
    <row r="21" spans="1:15" ht="72" hidden="1" x14ac:dyDescent="0.3">
      <c r="A21" s="1" t="s">
        <v>373</v>
      </c>
      <c r="B21" s="6" t="s">
        <v>412</v>
      </c>
      <c r="C21" s="1" t="s">
        <v>411</v>
      </c>
      <c r="D21" s="1" t="s">
        <v>736</v>
      </c>
      <c r="E21" s="1" t="s">
        <v>64</v>
      </c>
      <c r="F21" s="1" t="s">
        <v>89</v>
      </c>
      <c r="G21" s="1" t="s">
        <v>139</v>
      </c>
      <c r="H21" s="1" t="s">
        <v>37</v>
      </c>
      <c r="I21" s="1" t="s">
        <v>117</v>
      </c>
      <c r="J21" s="1" t="s">
        <v>817</v>
      </c>
      <c r="K21" s="1" t="s">
        <v>828</v>
      </c>
      <c r="M21" s="1" t="s">
        <v>194</v>
      </c>
      <c r="N21" s="1" t="s">
        <v>184</v>
      </c>
      <c r="O21" s="1" t="str">
        <f>HYPERLINK("http://isibayafund.pic.gov.za","http://isibayafund.pic.gov.za")</f>
        <v>http://isibayafund.pic.gov.za</v>
      </c>
    </row>
    <row r="22" spans="1:15" ht="57.6" hidden="1" x14ac:dyDescent="0.3">
      <c r="A22" s="1" t="s">
        <v>23</v>
      </c>
      <c r="B22" s="1" t="s">
        <v>24</v>
      </c>
      <c r="C22" s="1" t="s">
        <v>408</v>
      </c>
      <c r="D22" s="1" t="s">
        <v>383</v>
      </c>
      <c r="E22" s="1" t="s">
        <v>62</v>
      </c>
      <c r="G22" s="1" t="s">
        <v>134</v>
      </c>
      <c r="H22" s="1" t="s">
        <v>37</v>
      </c>
      <c r="I22" s="1" t="s">
        <v>115</v>
      </c>
      <c r="J22" s="1" t="s">
        <v>817</v>
      </c>
      <c r="K22" s="1" t="s">
        <v>828</v>
      </c>
      <c r="L22" s="1" t="s">
        <v>165</v>
      </c>
      <c r="M22" s="1" t="str">
        <f>HYPERLINK("mailto:james.meiring@nrf.ac.za","Eugene@nrf.ac.za
James.Meiring@nrf.ac.za ")</f>
        <v xml:space="preserve">Eugene@nrf.ac.za
James.Meiring@nrf.ac.za </v>
      </c>
      <c r="N22" s="1" t="s">
        <v>182</v>
      </c>
      <c r="O22" s="1" t="str">
        <f>HYPERLINK("http://www.nrf.ac.za/","www.nrf.ac.za/")</f>
        <v>www.nrf.ac.za/</v>
      </c>
    </row>
    <row r="23" spans="1:15" ht="115.2" hidden="1" x14ac:dyDescent="0.3">
      <c r="A23" s="1" t="s">
        <v>373</v>
      </c>
      <c r="B23" s="1" t="s">
        <v>24</v>
      </c>
      <c r="C23" s="1" t="s">
        <v>49</v>
      </c>
      <c r="D23" s="1" t="s">
        <v>383</v>
      </c>
      <c r="E23" s="1" t="s">
        <v>62</v>
      </c>
      <c r="F23" s="1" t="s">
        <v>80</v>
      </c>
      <c r="G23" s="1" t="s">
        <v>134</v>
      </c>
      <c r="H23" s="1" t="s">
        <v>37</v>
      </c>
      <c r="I23" s="1" t="s">
        <v>105</v>
      </c>
      <c r="J23" s="1" t="s">
        <v>817</v>
      </c>
      <c r="K23" s="1" t="s">
        <v>828</v>
      </c>
      <c r="L23" s="1" t="s">
        <v>160</v>
      </c>
      <c r="M23" s="1" t="str">
        <f>HYPERLINK("mailto:Maria@nrf.ac.za","Maria@nrf.ac.za")</f>
        <v>Maria@nrf.ac.za</v>
      </c>
      <c r="N23" s="1" t="s">
        <v>177</v>
      </c>
      <c r="O23" s="1" t="str">
        <f t="shared" si="0"/>
        <v>www.thedti.gov.za</v>
      </c>
    </row>
    <row r="24" spans="1:15" ht="144" hidden="1" x14ac:dyDescent="0.3">
      <c r="A24" s="1" t="s">
        <v>23</v>
      </c>
      <c r="B24" s="1" t="s">
        <v>409</v>
      </c>
      <c r="C24" s="1" t="s">
        <v>410</v>
      </c>
      <c r="D24" s="1" t="s">
        <v>383</v>
      </c>
      <c r="E24" s="1" t="s">
        <v>63</v>
      </c>
      <c r="G24" s="1" t="s">
        <v>134</v>
      </c>
      <c r="H24" s="1" t="s">
        <v>150</v>
      </c>
      <c r="I24" s="1" t="s">
        <v>116</v>
      </c>
      <c r="J24" s="1" t="s">
        <v>817</v>
      </c>
      <c r="K24" s="1" t="s">
        <v>828</v>
      </c>
      <c r="L24" s="1" t="s">
        <v>166</v>
      </c>
      <c r="N24" s="1" t="s">
        <v>183</v>
      </c>
      <c r="O24" s="1" t="str">
        <f>HYPERLINK("http://www.nyda.gov.za/Pages/default.aspx","www.nyda.gov.za/")</f>
        <v>www.nyda.gov.za/</v>
      </c>
    </row>
    <row r="25" spans="1:15" ht="43.2" hidden="1" x14ac:dyDescent="0.3">
      <c r="A25" s="1" t="s">
        <v>373</v>
      </c>
      <c r="B25" s="1" t="s">
        <v>24</v>
      </c>
      <c r="C25" s="1" t="s">
        <v>388</v>
      </c>
      <c r="D25" s="1" t="s">
        <v>383</v>
      </c>
      <c r="E25" s="1" t="s">
        <v>65</v>
      </c>
      <c r="F25" s="1" t="s">
        <v>90</v>
      </c>
      <c r="G25" s="1" t="s">
        <v>135</v>
      </c>
      <c r="H25" s="1" t="s">
        <v>37</v>
      </c>
      <c r="I25" s="1" t="s">
        <v>118</v>
      </c>
      <c r="J25" s="1" t="s">
        <v>817</v>
      </c>
      <c r="K25" s="1" t="s">
        <v>828</v>
      </c>
      <c r="M25" s="1" t="str">
        <f>HYPERLINK("mailto:TBreytenbach@seda.org.za","TBreytenbach@seda.org.za")</f>
        <v>TBreytenbach@seda.org.za</v>
      </c>
      <c r="N25" s="1" t="s">
        <v>185</v>
      </c>
      <c r="O25" s="1" t="str">
        <f>HYPERLINK("http://www.seda.org.za/","www.seda.org.za")</f>
        <v>www.seda.org.za</v>
      </c>
    </row>
    <row r="26" spans="1:15" ht="115.2" hidden="1" x14ac:dyDescent="0.3">
      <c r="A26" s="1" t="s">
        <v>373</v>
      </c>
      <c r="B26" s="1" t="s">
        <v>24</v>
      </c>
      <c r="C26" s="1" t="s">
        <v>413</v>
      </c>
      <c r="D26" s="1" t="s">
        <v>383</v>
      </c>
      <c r="E26" s="1" t="s">
        <v>66</v>
      </c>
      <c r="F26" s="1" t="s">
        <v>205</v>
      </c>
      <c r="G26" s="1" t="s">
        <v>33</v>
      </c>
      <c r="H26" s="1" t="s">
        <v>37</v>
      </c>
      <c r="I26" s="1" t="s">
        <v>235</v>
      </c>
      <c r="J26" s="1" t="s">
        <v>816</v>
      </c>
      <c r="K26" s="1" t="s">
        <v>819</v>
      </c>
      <c r="M26" s="1" t="s">
        <v>274</v>
      </c>
      <c r="N26" s="1" t="s">
        <v>263</v>
      </c>
      <c r="O26" s="1" t="s">
        <v>286</v>
      </c>
    </row>
    <row r="27" spans="1:15" ht="43.2" hidden="1" x14ac:dyDescent="0.3">
      <c r="A27" s="1" t="s">
        <v>373</v>
      </c>
      <c r="B27" s="1" t="s">
        <v>24</v>
      </c>
      <c r="C27" s="1" t="s">
        <v>413</v>
      </c>
      <c r="D27" s="1" t="s">
        <v>383</v>
      </c>
      <c r="E27" s="1" t="s">
        <v>66</v>
      </c>
      <c r="G27" s="1" t="s">
        <v>140</v>
      </c>
      <c r="H27" s="1" t="s">
        <v>151</v>
      </c>
      <c r="I27" s="1" t="s">
        <v>119</v>
      </c>
      <c r="J27" s="1" t="s">
        <v>817</v>
      </c>
      <c r="K27" s="1" t="s">
        <v>828</v>
      </c>
      <c r="L27" s="1" t="s">
        <v>167</v>
      </c>
      <c r="M27" s="1" t="str">
        <f>HYPERLINK("mailto:helpline@sefa.org.za","helpline@sefa.org.za")</f>
        <v>helpline@sefa.org.za</v>
      </c>
      <c r="N27" s="1" t="s">
        <v>186</v>
      </c>
      <c r="O27" s="1" t="str">
        <f>HYPERLINK("http://www.sefa.org.za/","www.sefa.org.za/")</f>
        <v>www.sefa.org.za/</v>
      </c>
    </row>
    <row r="28" spans="1:15" ht="43.2" hidden="1" x14ac:dyDescent="0.3">
      <c r="A28" s="1" t="s">
        <v>373</v>
      </c>
      <c r="B28" s="1" t="s">
        <v>24</v>
      </c>
      <c r="C28" s="1" t="s">
        <v>413</v>
      </c>
      <c r="D28" s="1" t="s">
        <v>383</v>
      </c>
      <c r="E28" s="1" t="s">
        <v>66</v>
      </c>
      <c r="G28" s="1" t="s">
        <v>140</v>
      </c>
      <c r="H28" s="1" t="s">
        <v>152</v>
      </c>
      <c r="I28" s="1" t="s">
        <v>120</v>
      </c>
      <c r="J28" s="1" t="s">
        <v>817</v>
      </c>
      <c r="K28" s="1" t="s">
        <v>828</v>
      </c>
      <c r="L28" s="1" t="s">
        <v>167</v>
      </c>
      <c r="M28" s="1" t="str">
        <f>HYPERLINK("mailto:helpline@sefa.org.za","helpline@sefa.org.za")</f>
        <v>helpline@sefa.org.za</v>
      </c>
      <c r="N28" s="1" t="s">
        <v>186</v>
      </c>
      <c r="O28" s="1" t="str">
        <f>HYPERLINK("http://www.sefa.org.za/","www.sefa.org.za/")</f>
        <v>www.sefa.org.za/</v>
      </c>
    </row>
    <row r="29" spans="1:15" ht="43.2" x14ac:dyDescent="0.3">
      <c r="A29" s="1" t="s">
        <v>23</v>
      </c>
      <c r="B29" s="1" t="s">
        <v>416</v>
      </c>
      <c r="C29" s="1" t="s">
        <v>415</v>
      </c>
      <c r="D29" s="1" t="s">
        <v>383</v>
      </c>
      <c r="E29" s="1" t="s">
        <v>67</v>
      </c>
      <c r="F29" s="1" t="s">
        <v>414</v>
      </c>
      <c r="G29" s="1" t="s">
        <v>136</v>
      </c>
      <c r="H29" s="1" t="s">
        <v>37</v>
      </c>
      <c r="I29" s="1" t="s">
        <v>121</v>
      </c>
      <c r="J29" s="1" t="s">
        <v>817</v>
      </c>
      <c r="K29" s="1" t="s">
        <v>819</v>
      </c>
      <c r="L29" s="1" t="s">
        <v>168</v>
      </c>
      <c r="M29" s="1" t="str">
        <f>HYPERLINK("mailto:BarryB@sanedi.org.za","BarryB@sanedi.org.za")</f>
        <v>BarryB@sanedi.org.za</v>
      </c>
      <c r="O29" s="1" t="str">
        <f>HYPERLINK("http://www.sanedi.org.za/12l-ee-tax-incentive/","www.sanedi.org.za/12l-ee-tax-incentive/")</f>
        <v>www.sanedi.org.za/12l-ee-tax-incentive/</v>
      </c>
    </row>
    <row r="30" spans="1:15" ht="72" x14ac:dyDescent="0.3">
      <c r="A30" s="1" t="s">
        <v>373</v>
      </c>
      <c r="B30" s="1" t="s">
        <v>24</v>
      </c>
      <c r="C30" s="1" t="s">
        <v>382</v>
      </c>
      <c r="D30" s="1" t="s">
        <v>383</v>
      </c>
      <c r="E30" s="1" t="s">
        <v>68</v>
      </c>
      <c r="F30" s="1" t="s">
        <v>91</v>
      </c>
      <c r="G30" s="1" t="s">
        <v>136</v>
      </c>
      <c r="H30" s="1" t="s">
        <v>37</v>
      </c>
      <c r="I30" s="1" t="s">
        <v>122</v>
      </c>
      <c r="J30" s="1" t="s">
        <v>817</v>
      </c>
      <c r="K30" s="1" t="s">
        <v>828</v>
      </c>
    </row>
    <row r="31" spans="1:15" ht="28.8" x14ac:dyDescent="0.3">
      <c r="A31" s="1" t="s">
        <v>373</v>
      </c>
      <c r="B31" s="1" t="s">
        <v>24</v>
      </c>
      <c r="C31" s="1" t="s">
        <v>382</v>
      </c>
      <c r="D31" s="1" t="s">
        <v>383</v>
      </c>
      <c r="E31" s="1" t="s">
        <v>68</v>
      </c>
      <c r="F31" s="1" t="s">
        <v>92</v>
      </c>
      <c r="G31" s="1" t="s">
        <v>136</v>
      </c>
      <c r="H31" s="1" t="s">
        <v>37</v>
      </c>
      <c r="I31" s="1" t="s">
        <v>123</v>
      </c>
      <c r="J31" s="1" t="s">
        <v>816</v>
      </c>
      <c r="K31" s="1" t="s">
        <v>819</v>
      </c>
      <c r="O31" s="1" t="str">
        <f>HYPERLINK("http://www.greenbusinessguide.co.za/environmental-financial-incentives-in-south-africa-2013/","www.greenbusinessguide.co.za/")</f>
        <v>www.greenbusinessguide.co.za/</v>
      </c>
    </row>
    <row r="32" spans="1:15" ht="28.8" hidden="1" x14ac:dyDescent="0.3">
      <c r="A32" s="1" t="s">
        <v>373</v>
      </c>
      <c r="B32" s="1" t="s">
        <v>24</v>
      </c>
      <c r="C32" s="1" t="s">
        <v>417</v>
      </c>
      <c r="D32" s="1" t="s">
        <v>383</v>
      </c>
      <c r="E32" s="1" t="s">
        <v>69</v>
      </c>
      <c r="G32" s="1" t="s">
        <v>141</v>
      </c>
      <c r="H32" s="1" t="s">
        <v>37</v>
      </c>
      <c r="I32" s="1" t="s">
        <v>124</v>
      </c>
      <c r="J32" s="1" t="s">
        <v>817</v>
      </c>
      <c r="K32" s="1" t="s">
        <v>828</v>
      </c>
      <c r="M32" s="1" t="str">
        <f>HYPERLINK("mailto:info@tia.org.za","info@tia.org.za ")</f>
        <v xml:space="preserve">info@tia.org.za </v>
      </c>
      <c r="N32" s="1" t="s">
        <v>187</v>
      </c>
      <c r="O32" s="1" t="str">
        <f>HYPERLINK("http://www.tia.org.za/","www.tia.org.za/")</f>
        <v>www.tia.org.za/</v>
      </c>
    </row>
    <row r="33" spans="14:14" hidden="1" x14ac:dyDescent="0.3"/>
    <row r="34" spans="14:14" hidden="1" x14ac:dyDescent="0.3">
      <c r="N34" s="7"/>
    </row>
  </sheetData>
  <autoFilter ref="A1:O34">
    <filterColumn colId="6">
      <filters>
        <filter val="Cost-sharing grant"/>
        <filter val="Rebate"/>
      </filters>
    </filterColumn>
  </autoFilter>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Input!$A$32:$A$34</xm:f>
          </x14:formula1>
          <xm:sqref>J2:J32</xm:sqref>
        </x14:dataValidation>
        <x14:dataValidation type="list" allowBlank="1" showInputMessage="1" showErrorMessage="1">
          <x14:formula1>
            <xm:f>Input!$A$36:$A$45</xm:f>
          </x14:formula1>
          <xm:sqref>K2 K4:K32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56"/>
  <sheetViews>
    <sheetView topLeftCell="F1" zoomScale="80" zoomScaleNormal="80" workbookViewId="0">
      <pane ySplit="1" topLeftCell="A16" activePane="bottomLeft" state="frozen"/>
      <selection pane="bottomLeft" activeCell="J17" sqref="J17:K17"/>
    </sheetView>
  </sheetViews>
  <sheetFormatPr defaultColWidth="9.109375" defaultRowHeight="14.4" x14ac:dyDescent="0.3"/>
  <cols>
    <col min="1" max="1" width="14.33203125" style="1" bestFit="1" customWidth="1"/>
    <col min="2" max="2" width="15.88671875" style="1" bestFit="1" customWidth="1"/>
    <col min="3" max="3" width="41" style="1" bestFit="1" customWidth="1"/>
    <col min="4" max="4" width="24.88671875" style="1" bestFit="1" customWidth="1"/>
    <col min="5" max="5" width="35.44140625" style="1" bestFit="1" customWidth="1"/>
    <col min="6" max="6" width="34" style="1" bestFit="1" customWidth="1"/>
    <col min="7" max="7" width="23.44140625" style="1" bestFit="1" customWidth="1"/>
    <col min="8" max="8" width="28.6640625" style="1" bestFit="1" customWidth="1"/>
    <col min="9" max="9" width="82.88671875" style="1" bestFit="1" customWidth="1"/>
    <col min="10" max="10" width="26.44140625" style="1" bestFit="1" customWidth="1"/>
    <col min="11" max="11" width="23.33203125" style="1" customWidth="1"/>
    <col min="12" max="12" width="27.88671875" style="1" bestFit="1" customWidth="1"/>
    <col min="13" max="13" width="18.88671875" style="1" bestFit="1" customWidth="1"/>
    <col min="14" max="14" width="20.5546875" style="1" bestFit="1" customWidth="1"/>
    <col min="15" max="15" width="24.33203125" style="1" bestFit="1" customWidth="1"/>
    <col min="16" max="16384" width="9.109375" style="1"/>
  </cols>
  <sheetData>
    <row r="1" spans="1:15" s="2" customFormat="1" ht="43.2" x14ac:dyDescent="0.3">
      <c r="A1" s="3" t="s">
        <v>13</v>
      </c>
      <c r="B1" s="3" t="s">
        <v>7</v>
      </c>
      <c r="C1" s="3" t="s">
        <v>8</v>
      </c>
      <c r="D1" s="3" t="s">
        <v>10</v>
      </c>
      <c r="E1" s="3" t="s">
        <v>11</v>
      </c>
      <c r="F1" s="3" t="s">
        <v>20</v>
      </c>
      <c r="G1" s="3" t="s">
        <v>9</v>
      </c>
      <c r="H1" s="3" t="s">
        <v>19</v>
      </c>
      <c r="I1" s="3" t="s">
        <v>0</v>
      </c>
      <c r="J1" s="3" t="s">
        <v>12</v>
      </c>
      <c r="K1" s="3" t="s">
        <v>14</v>
      </c>
      <c r="L1" s="3" t="s">
        <v>16</v>
      </c>
      <c r="M1" s="3" t="s">
        <v>17</v>
      </c>
      <c r="N1" s="3" t="s">
        <v>18</v>
      </c>
      <c r="O1" s="3" t="s">
        <v>15</v>
      </c>
    </row>
    <row r="2" spans="1:15" ht="158.4" x14ac:dyDescent="0.3">
      <c r="A2" s="1" t="s">
        <v>373</v>
      </c>
      <c r="B2" s="1" t="s">
        <v>24</v>
      </c>
      <c r="C2" s="1" t="s">
        <v>448</v>
      </c>
      <c r="D2" s="1" t="s">
        <v>22</v>
      </c>
      <c r="E2" s="1" t="s">
        <v>1</v>
      </c>
      <c r="F2" s="1" t="s">
        <v>3</v>
      </c>
      <c r="G2" s="1" t="s">
        <v>2</v>
      </c>
      <c r="H2" s="1" t="s">
        <v>21</v>
      </c>
      <c r="I2" s="1" t="s">
        <v>372</v>
      </c>
      <c r="J2" s="1" t="s">
        <v>816</v>
      </c>
      <c r="K2" s="1" t="s">
        <v>819</v>
      </c>
      <c r="M2" s="1" t="s">
        <v>4</v>
      </c>
      <c r="N2" s="1" t="s">
        <v>5</v>
      </c>
      <c r="O2" s="4" t="s">
        <v>6</v>
      </c>
    </row>
    <row r="3" spans="1:15" ht="158.4" x14ac:dyDescent="0.3">
      <c r="A3" s="1" t="s">
        <v>373</v>
      </c>
      <c r="B3" s="1" t="s">
        <v>24</v>
      </c>
      <c r="C3" s="1" t="s">
        <v>448</v>
      </c>
      <c r="D3" s="1" t="s">
        <v>22</v>
      </c>
      <c r="E3" s="1" t="s">
        <v>196</v>
      </c>
      <c r="F3" s="1" t="s">
        <v>197</v>
      </c>
      <c r="G3" s="1" t="s">
        <v>250</v>
      </c>
      <c r="H3" s="1" t="s">
        <v>37</v>
      </c>
      <c r="I3" s="1" t="s">
        <v>230</v>
      </c>
      <c r="J3" s="1" t="s">
        <v>816</v>
      </c>
      <c r="K3" s="1" t="s">
        <v>819</v>
      </c>
      <c r="M3" s="1" t="s">
        <v>270</v>
      </c>
      <c r="N3" s="1" t="s">
        <v>261</v>
      </c>
      <c r="O3" s="1" t="s">
        <v>281</v>
      </c>
    </row>
    <row r="4" spans="1:15" ht="158.4" x14ac:dyDescent="0.3">
      <c r="A4" s="1" t="s">
        <v>373</v>
      </c>
      <c r="B4" s="1" t="s">
        <v>24</v>
      </c>
      <c r="C4" s="1" t="s">
        <v>420</v>
      </c>
      <c r="D4" s="1" t="s">
        <v>22</v>
      </c>
      <c r="E4" s="1" t="s">
        <v>198</v>
      </c>
      <c r="F4" s="1" t="s">
        <v>199</v>
      </c>
      <c r="G4" s="1" t="s">
        <v>250</v>
      </c>
      <c r="H4" s="1" t="s">
        <v>37</v>
      </c>
      <c r="I4" s="1" t="s">
        <v>231</v>
      </c>
      <c r="J4" s="1" t="s">
        <v>816</v>
      </c>
      <c r="K4" s="1" t="s">
        <v>819</v>
      </c>
      <c r="L4" s="1" t="s">
        <v>257</v>
      </c>
      <c r="M4" s="1" t="s">
        <v>271</v>
      </c>
      <c r="O4" s="1" t="s">
        <v>282</v>
      </c>
    </row>
    <row r="5" spans="1:15" ht="28.8" x14ac:dyDescent="0.3">
      <c r="A5" s="1" t="s">
        <v>373</v>
      </c>
      <c r="B5" s="1" t="s">
        <v>24</v>
      </c>
      <c r="C5" s="1" t="s">
        <v>453</v>
      </c>
      <c r="D5" s="1" t="s">
        <v>22</v>
      </c>
      <c r="E5" s="1" t="s">
        <v>305</v>
      </c>
      <c r="F5" s="1" t="s">
        <v>307</v>
      </c>
      <c r="G5" s="1" t="s">
        <v>336</v>
      </c>
      <c r="H5" s="1" t="s">
        <v>343</v>
      </c>
      <c r="I5" s="1" t="s">
        <v>328</v>
      </c>
      <c r="J5" s="1" t="s">
        <v>816</v>
      </c>
      <c r="K5" s="1" t="s">
        <v>819</v>
      </c>
      <c r="L5" s="1" t="s">
        <v>353</v>
      </c>
      <c r="M5" s="1" t="str">
        <f>HYPERLINK("mailto:J.Cunha@afdb.org","J.Cunha@afdb.org")</f>
        <v>J.Cunha@afdb.org</v>
      </c>
      <c r="O5" s="1" t="str">
        <f>HYPERLINK("http://www.afdb.org/en/topics-and-sectors/initiatives-partnerships/sustainable-energy-fund-for-africa/","www.afdb.org/")</f>
        <v>www.afdb.org/</v>
      </c>
    </row>
    <row r="6" spans="1:15" ht="57.6" x14ac:dyDescent="0.3">
      <c r="A6" s="1" t="s">
        <v>373</v>
      </c>
      <c r="B6" s="1" t="s">
        <v>24</v>
      </c>
      <c r="C6" s="1" t="s">
        <v>448</v>
      </c>
      <c r="D6" s="1" t="s">
        <v>22</v>
      </c>
      <c r="E6" s="1" t="s">
        <v>308</v>
      </c>
      <c r="F6" s="1" t="s">
        <v>309</v>
      </c>
      <c r="G6" s="1" t="s">
        <v>33</v>
      </c>
      <c r="I6" s="1" t="s">
        <v>330</v>
      </c>
      <c r="J6" s="1" t="s">
        <v>816</v>
      </c>
      <c r="K6" s="1" t="s">
        <v>828</v>
      </c>
      <c r="O6" s="1" t="str">
        <f>HYPERLINK("http://treasury.worldbank.org/cmd/htm/WorldBankGreenBonds.html","http://treasury.worldbank.org/")</f>
        <v>http://treasury.worldbank.org/</v>
      </c>
    </row>
    <row r="7" spans="1:15" ht="57.6" x14ac:dyDescent="0.3">
      <c r="A7" s="1" t="s">
        <v>373</v>
      </c>
      <c r="B7" s="1" t="s">
        <v>24</v>
      </c>
      <c r="C7" s="1" t="s">
        <v>448</v>
      </c>
      <c r="D7" s="1" t="s">
        <v>22</v>
      </c>
      <c r="E7" s="1" t="s">
        <v>308</v>
      </c>
      <c r="F7" s="1" t="s">
        <v>310</v>
      </c>
      <c r="G7" s="1" t="s">
        <v>138</v>
      </c>
      <c r="I7" s="1" t="s">
        <v>331</v>
      </c>
      <c r="J7" s="1" t="s">
        <v>816</v>
      </c>
      <c r="K7" s="1" t="s">
        <v>819</v>
      </c>
      <c r="L7" s="1" t="s">
        <v>355</v>
      </c>
      <c r="M7" s="1" t="s">
        <v>357</v>
      </c>
      <c r="N7" s="1" t="s">
        <v>370</v>
      </c>
      <c r="O7" s="1" t="str">
        <f>HYPERLINK("http://ida.worldbank.org/financing/replenishments/ida18-overview","http://ida.worldbank.org/financing/")</f>
        <v>http://ida.worldbank.org/financing/</v>
      </c>
    </row>
    <row r="8" spans="1:15" ht="57.6" x14ac:dyDescent="0.3">
      <c r="A8" s="1" t="s">
        <v>373</v>
      </c>
      <c r="B8" s="1" t="s">
        <v>404</v>
      </c>
      <c r="C8" s="1" t="s">
        <v>452</v>
      </c>
      <c r="D8" s="1" t="s">
        <v>22</v>
      </c>
      <c r="E8" s="1" t="s">
        <v>303</v>
      </c>
      <c r="F8" s="1" t="s">
        <v>303</v>
      </c>
      <c r="G8" s="1" t="s">
        <v>139</v>
      </c>
      <c r="H8" s="1" t="s">
        <v>37</v>
      </c>
      <c r="I8" s="1" t="s">
        <v>325</v>
      </c>
      <c r="J8" s="1" t="s">
        <v>817</v>
      </c>
      <c r="K8" s="1" t="s">
        <v>828</v>
      </c>
      <c r="L8" s="1" t="s">
        <v>351</v>
      </c>
      <c r="M8" s="1" t="str">
        <f>HYPERLINK("mailto:ifcjohannesburg@ifc.org","ifcjohannesburg@ifc.org")</f>
        <v>ifcjohannesburg@ifc.org</v>
      </c>
      <c r="N8" s="1" t="s">
        <v>367</v>
      </c>
      <c r="O8" s="1" t="str">
        <f>HYPERLINK("http://www.ifc.org/wps/wcm/connect/REGION__EXT_Content/Regions/Sub-Saharan+Africa/","www.ifc.org//")</f>
        <v>www.ifc.org//</v>
      </c>
    </row>
    <row r="9" spans="1:15" ht="43.2" x14ac:dyDescent="0.3">
      <c r="A9" s="1" t="s">
        <v>373</v>
      </c>
      <c r="B9" s="1" t="s">
        <v>24</v>
      </c>
      <c r="C9" s="1" t="s">
        <v>453</v>
      </c>
      <c r="D9" s="1" t="s">
        <v>22</v>
      </c>
      <c r="E9" s="1" t="s">
        <v>305</v>
      </c>
      <c r="F9" s="1" t="s">
        <v>306</v>
      </c>
      <c r="G9" s="1" t="s">
        <v>336</v>
      </c>
      <c r="H9" s="1" t="s">
        <v>342</v>
      </c>
      <c r="I9" s="1" t="s">
        <v>327</v>
      </c>
      <c r="J9" s="1" t="s">
        <v>816</v>
      </c>
      <c r="K9" s="1" t="s">
        <v>819</v>
      </c>
      <c r="L9" s="1" t="s">
        <v>353</v>
      </c>
      <c r="M9" s="1" t="str">
        <f>HYPERLINK("mailto:J.Cunha@afdb.org","J.Cunha@afdb.org")</f>
        <v>J.Cunha@afdb.org</v>
      </c>
      <c r="O9" s="1" t="str">
        <f>HYPERLINK("http://www.afdb.org/en/topics-and-sectors/initiatives-partnerships/sustainable-energy-fund-for-africa/","www.afdb.org/")</f>
        <v>www.afdb.org/</v>
      </c>
    </row>
    <row r="10" spans="1:15" ht="115.2" x14ac:dyDescent="0.3">
      <c r="A10" s="1" t="s">
        <v>373</v>
      </c>
      <c r="B10" s="1" t="s">
        <v>416</v>
      </c>
      <c r="C10" s="1" t="s">
        <v>446</v>
      </c>
      <c r="D10" s="1" t="s">
        <v>22</v>
      </c>
      <c r="E10" s="1" t="s">
        <v>445</v>
      </c>
      <c r="F10" s="1" t="s">
        <v>444</v>
      </c>
      <c r="G10" s="1" t="s">
        <v>134</v>
      </c>
      <c r="H10" s="1" t="s">
        <v>338</v>
      </c>
      <c r="I10" s="1" t="s">
        <v>317</v>
      </c>
      <c r="J10" s="1" t="s">
        <v>817</v>
      </c>
      <c r="K10" s="1" t="s">
        <v>828</v>
      </c>
      <c r="M10" s="1" t="s">
        <v>356</v>
      </c>
      <c r="N10" s="1" t="s">
        <v>360</v>
      </c>
      <c r="O10" s="1" t="str">
        <f>HYPERLINK("http://eepafrica.org/","http://eepafrica.org/")</f>
        <v>http://eepafrica.org/</v>
      </c>
    </row>
    <row r="11" spans="1:15" ht="86.4" x14ac:dyDescent="0.3">
      <c r="A11" s="1" t="s">
        <v>373</v>
      </c>
      <c r="B11" s="1" t="s">
        <v>24</v>
      </c>
      <c r="C11" s="1" t="s">
        <v>447</v>
      </c>
      <c r="D11" s="1" t="s">
        <v>22</v>
      </c>
      <c r="E11" s="1" t="s">
        <v>297</v>
      </c>
      <c r="G11" s="1" t="s">
        <v>33</v>
      </c>
      <c r="I11" s="1" t="s">
        <v>318</v>
      </c>
      <c r="J11" s="1" t="s">
        <v>817</v>
      </c>
      <c r="K11" s="1" t="s">
        <v>828</v>
      </c>
      <c r="M11" s="1" t="str">
        <f>HYPERLINK("mailto:info@eib.org","pretoria@eib.org")</f>
        <v>pretoria@eib.org</v>
      </c>
      <c r="N11" s="1" t="s">
        <v>361</v>
      </c>
      <c r="O11" s="1" t="str">
        <f>HYPERLINK("http://www.eib.org/acp","www.eib.org/acp")</f>
        <v>www.eib.org/acp</v>
      </c>
    </row>
    <row r="12" spans="1:15" ht="144" x14ac:dyDescent="0.3">
      <c r="A12" s="1" t="s">
        <v>373</v>
      </c>
      <c r="B12" s="1" t="s">
        <v>24</v>
      </c>
      <c r="C12" s="1" t="s">
        <v>425</v>
      </c>
      <c r="D12" s="1" t="s">
        <v>227</v>
      </c>
      <c r="E12" s="1" t="s">
        <v>202</v>
      </c>
      <c r="F12" s="1" t="s">
        <v>203</v>
      </c>
      <c r="G12" s="1" t="s">
        <v>250</v>
      </c>
      <c r="H12" s="1" t="s">
        <v>37</v>
      </c>
      <c r="I12" s="1" t="s">
        <v>233</v>
      </c>
      <c r="J12" s="1" t="s">
        <v>817</v>
      </c>
      <c r="K12" s="29" t="s">
        <v>256</v>
      </c>
      <c r="L12" s="1" t="s">
        <v>259</v>
      </c>
      <c r="M12" s="1" t="s">
        <v>273</v>
      </c>
      <c r="O12" s="1" t="s">
        <v>284</v>
      </c>
    </row>
    <row r="13" spans="1:15" ht="43.2" x14ac:dyDescent="0.3">
      <c r="A13" s="1" t="s">
        <v>373</v>
      </c>
      <c r="B13" s="1" t="s">
        <v>24</v>
      </c>
      <c r="C13" s="1" t="s">
        <v>449</v>
      </c>
      <c r="D13" s="6" t="s">
        <v>421</v>
      </c>
      <c r="E13" s="1" t="s">
        <v>299</v>
      </c>
      <c r="G13" s="1" t="s">
        <v>33</v>
      </c>
      <c r="I13" s="1" t="s">
        <v>320</v>
      </c>
      <c r="J13" s="1" t="s">
        <v>817</v>
      </c>
      <c r="K13" s="1" t="s">
        <v>828</v>
      </c>
      <c r="L13" s="1" t="s">
        <v>347</v>
      </c>
      <c r="M13" s="1" t="str">
        <f>HYPERLINK("mailto:kfw.pretoria@kfw.de","kfw.pretoria@kfw.de")</f>
        <v>kfw.pretoria@kfw.de</v>
      </c>
      <c r="N13" s="1" t="s">
        <v>363</v>
      </c>
      <c r="O13" s="1" t="str">
        <f>HYPERLINK("http://www.kfw-entwicklungsbank.de/International-financing/KfW-Development-Bank/Local-presence/Subsahara-Africa/South-Africa/","www.kfw-entwicklungsbank.de/")</f>
        <v>www.kfw-entwicklungsbank.de/</v>
      </c>
    </row>
    <row r="14" spans="1:15" ht="57.6" x14ac:dyDescent="0.3">
      <c r="A14" s="1" t="s">
        <v>373</v>
      </c>
      <c r="B14" s="1" t="s">
        <v>24</v>
      </c>
      <c r="C14" s="1" t="s">
        <v>451</v>
      </c>
      <c r="D14" s="1" t="s">
        <v>421</v>
      </c>
      <c r="E14" s="1" t="s">
        <v>450</v>
      </c>
      <c r="G14" s="1" t="s">
        <v>335</v>
      </c>
      <c r="H14" s="1" t="s">
        <v>37</v>
      </c>
      <c r="I14" s="1" t="s">
        <v>324</v>
      </c>
      <c r="J14" s="1" t="s">
        <v>817</v>
      </c>
      <c r="K14" s="1" t="s">
        <v>828</v>
      </c>
      <c r="L14" s="1" t="s">
        <v>350</v>
      </c>
      <c r="M14" s="1" t="str">
        <f>HYPERLINK("mailto:JOH@ifu.dk","kif@klimainvesteringsfonden.dk")</f>
        <v>kif@klimainvesteringsfonden.dk</v>
      </c>
      <c r="N14" s="1" t="s">
        <v>366</v>
      </c>
      <c r="O14" s="1" t="str">
        <f>HYPERLINK("https://www.ifu.dk/en/frontpage-english/","https://www.ifu.dk/en/frontpage-english/")</f>
        <v>https://www.ifu.dk/en/frontpage-english/</v>
      </c>
    </row>
    <row r="15" spans="1:15" ht="158.4" x14ac:dyDescent="0.3">
      <c r="A15" s="1" t="s">
        <v>373</v>
      </c>
      <c r="B15" s="1" t="s">
        <v>753</v>
      </c>
      <c r="C15" s="1" t="s">
        <v>301</v>
      </c>
      <c r="D15" s="6" t="s">
        <v>756</v>
      </c>
      <c r="E15" s="1" t="s">
        <v>754</v>
      </c>
      <c r="F15" s="1" t="s">
        <v>298</v>
      </c>
      <c r="G15" s="1" t="s">
        <v>134</v>
      </c>
      <c r="I15" s="1" t="s">
        <v>319</v>
      </c>
      <c r="J15" s="1" t="s">
        <v>817</v>
      </c>
      <c r="K15" s="1" t="s">
        <v>828</v>
      </c>
      <c r="L15" s="1" t="s">
        <v>346</v>
      </c>
      <c r="M15" s="1" t="str">
        <f>HYPERLINK("mailto:rmoore1@thegef.org","RMoore@thegef.org
SDobardzic@thegef.org")</f>
        <v>RMoore@thegef.org
SDobardzic@thegef.org</v>
      </c>
      <c r="N15" s="1" t="s">
        <v>362</v>
      </c>
      <c r="O15" s="1" t="str">
        <f>HYPERLINK("http://www.thegef.org/gef/SCCF","www.thegef.org/gef/SCCF")</f>
        <v>www.thegef.org/gef/SCCF</v>
      </c>
    </row>
    <row r="16" spans="1:15" ht="28.8" x14ac:dyDescent="0.3">
      <c r="A16" s="1" t="s">
        <v>373</v>
      </c>
      <c r="B16" s="1" t="s">
        <v>753</v>
      </c>
      <c r="C16" s="1" t="s">
        <v>301</v>
      </c>
      <c r="D16" s="6" t="s">
        <v>756</v>
      </c>
      <c r="E16" s="1" t="s">
        <v>754</v>
      </c>
      <c r="G16" s="1" t="s">
        <v>134</v>
      </c>
      <c r="I16" s="1" t="s">
        <v>322</v>
      </c>
      <c r="J16" s="1" t="s">
        <v>817</v>
      </c>
      <c r="K16" s="1" t="s">
        <v>828</v>
      </c>
      <c r="L16" s="1" t="s">
        <v>349</v>
      </c>
      <c r="M16" s="1" t="str">
        <f>HYPERLINK("mailto:Khathutshelo.Neluheni@undp.org","Khathutshelo.Neluheni@undp.org")</f>
        <v>Khathutshelo.Neluheni@undp.org</v>
      </c>
      <c r="N16" s="1" t="s">
        <v>365</v>
      </c>
      <c r="O16" s="1" t="str">
        <f>HYPERLINK("http://www.environment.gov.za/projectsprogrammes/donorfunded/gefsgp","www.environment.gov.za/")</f>
        <v>www.environment.gov.za/</v>
      </c>
    </row>
    <row r="17" spans="1:15" ht="72" x14ac:dyDescent="0.3">
      <c r="A17" s="1" t="s">
        <v>373</v>
      </c>
      <c r="B17" s="1" t="s">
        <v>753</v>
      </c>
      <c r="C17" s="1" t="s">
        <v>301</v>
      </c>
      <c r="D17" s="6" t="s">
        <v>756</v>
      </c>
      <c r="E17" s="1" t="s">
        <v>755</v>
      </c>
      <c r="F17" s="1" t="s">
        <v>454</v>
      </c>
      <c r="G17" s="1" t="s">
        <v>134</v>
      </c>
      <c r="H17" s="1" t="s">
        <v>344</v>
      </c>
      <c r="I17" s="1" t="s">
        <v>329</v>
      </c>
      <c r="J17" s="1" t="s">
        <v>817</v>
      </c>
      <c r="K17" s="1" t="s">
        <v>828</v>
      </c>
      <c r="L17" s="1" t="s">
        <v>354</v>
      </c>
      <c r="M17" s="1" t="str">
        <f>HYPERLINK("mailto:Anele.Moyo@undp.org","Anele.Moyo@undp.org")</f>
        <v>Anele.Moyo@undp.org</v>
      </c>
      <c r="N17" s="1" t="s">
        <v>369</v>
      </c>
      <c r="O17" s="1" t="str">
        <f>HYPERLINK("http://www.sgp.undp.org/","www.sgp.undp.org")</f>
        <v>www.sgp.undp.org</v>
      </c>
    </row>
    <row r="18" spans="1:15" ht="172.8" x14ac:dyDescent="0.3">
      <c r="A18" s="1" t="s">
        <v>373</v>
      </c>
      <c r="B18" s="1" t="s">
        <v>404</v>
      </c>
      <c r="C18" s="1" t="s">
        <v>433</v>
      </c>
      <c r="D18" s="1" t="s">
        <v>434</v>
      </c>
      <c r="E18" s="1" t="s">
        <v>432</v>
      </c>
      <c r="F18" s="1" t="s">
        <v>223</v>
      </c>
      <c r="G18" s="1" t="s">
        <v>2</v>
      </c>
      <c r="H18" s="1" t="s">
        <v>37</v>
      </c>
      <c r="I18" s="1" t="s">
        <v>248</v>
      </c>
      <c r="K18" s="1" t="s">
        <v>823</v>
      </c>
      <c r="L18" s="1" t="s">
        <v>260</v>
      </c>
      <c r="M18" s="1" t="s">
        <v>279</v>
      </c>
      <c r="N18" s="1" t="s">
        <v>268</v>
      </c>
      <c r="O18" s="1" t="s">
        <v>291</v>
      </c>
    </row>
    <row r="19" spans="1:15" ht="43.2" x14ac:dyDescent="0.3">
      <c r="A19" s="1" t="s">
        <v>373</v>
      </c>
      <c r="B19" s="1" t="s">
        <v>404</v>
      </c>
      <c r="C19" s="1" t="s">
        <v>299</v>
      </c>
      <c r="D19" s="1" t="s">
        <v>434</v>
      </c>
      <c r="E19" s="1" t="s">
        <v>300</v>
      </c>
      <c r="G19" s="1" t="s">
        <v>139</v>
      </c>
      <c r="H19" s="1" t="s">
        <v>339</v>
      </c>
      <c r="I19" s="1" t="s">
        <v>321</v>
      </c>
      <c r="J19" s="1" t="s">
        <v>817</v>
      </c>
      <c r="K19" s="1" t="s">
        <v>828</v>
      </c>
      <c r="L19" s="1" t="s">
        <v>348</v>
      </c>
      <c r="M19" s="1" t="str">
        <f>HYPERLINK("mailto:Michael.Fischer@deginvest.de","Michael.Fischer@deginvest.de")</f>
        <v>Michael.Fischer@deginvest.de</v>
      </c>
      <c r="N19" s="1" t="s">
        <v>364</v>
      </c>
      <c r="O19" s="1" t="str">
        <f>HYPERLINK("http://www.deginvest.de/","www.deginvest.de")</f>
        <v>www.deginvest.de</v>
      </c>
    </row>
    <row r="20" spans="1:15" ht="100.8" x14ac:dyDescent="0.3">
      <c r="D20" s="1" t="s">
        <v>757</v>
      </c>
      <c r="E20" s="1" t="s">
        <v>515</v>
      </c>
      <c r="F20" s="1" t="s">
        <v>516</v>
      </c>
      <c r="G20" s="1" t="s">
        <v>530</v>
      </c>
      <c r="H20" s="1" t="s">
        <v>37</v>
      </c>
      <c r="I20" s="1" t="s">
        <v>517</v>
      </c>
      <c r="J20" s="1" t="s">
        <v>817</v>
      </c>
      <c r="K20" s="1" t="s">
        <v>828</v>
      </c>
      <c r="O20" s="1" t="str">
        <f>HYPERLINK("https://www.statebank.co.za/p-85/working-capital-finance","https://www.statebank.co.za/")</f>
        <v>https://www.statebank.co.za/</v>
      </c>
    </row>
    <row r="21" spans="1:15" ht="115.2" x14ac:dyDescent="0.3">
      <c r="A21" s="1" t="s">
        <v>373</v>
      </c>
      <c r="B21" s="1" t="s">
        <v>226</v>
      </c>
      <c r="C21" s="1" t="s">
        <v>422</v>
      </c>
      <c r="D21" s="1" t="s">
        <v>424</v>
      </c>
      <c r="E21" s="1" t="s">
        <v>423</v>
      </c>
      <c r="F21" s="1" t="s">
        <v>201</v>
      </c>
      <c r="G21" s="1" t="s">
        <v>33</v>
      </c>
      <c r="H21" s="1" t="s">
        <v>37</v>
      </c>
      <c r="I21" s="1" t="s">
        <v>232</v>
      </c>
      <c r="J21" s="1" t="s">
        <v>816</v>
      </c>
      <c r="K21" s="1" t="s">
        <v>819</v>
      </c>
      <c r="L21" s="1" t="s">
        <v>258</v>
      </c>
      <c r="M21" s="1" t="s">
        <v>272</v>
      </c>
      <c r="O21" s="1" t="s">
        <v>283</v>
      </c>
    </row>
    <row r="22" spans="1:15" ht="100.8" x14ac:dyDescent="0.3">
      <c r="A22" s="1" t="s">
        <v>373</v>
      </c>
      <c r="B22" s="1" t="s">
        <v>421</v>
      </c>
      <c r="C22" s="1" t="s">
        <v>200</v>
      </c>
      <c r="D22" s="1" t="s">
        <v>228</v>
      </c>
      <c r="E22" s="1" t="s">
        <v>60</v>
      </c>
      <c r="F22" s="1" t="s">
        <v>204</v>
      </c>
      <c r="G22" s="1" t="s">
        <v>33</v>
      </c>
      <c r="H22" s="1" t="s">
        <v>37</v>
      </c>
      <c r="I22" s="1" t="s">
        <v>234</v>
      </c>
      <c r="J22" s="1" t="s">
        <v>816</v>
      </c>
      <c r="K22" s="1" t="s">
        <v>819</v>
      </c>
      <c r="N22" s="1" t="s">
        <v>262</v>
      </c>
      <c r="O22" s="1" t="s">
        <v>285</v>
      </c>
    </row>
    <row r="23" spans="1:15" ht="100.8" x14ac:dyDescent="0.3">
      <c r="A23" s="1" t="s">
        <v>373</v>
      </c>
      <c r="B23" s="1" t="s">
        <v>24</v>
      </c>
      <c r="C23" s="1" t="s">
        <v>57</v>
      </c>
      <c r="D23" s="1" t="s">
        <v>228</v>
      </c>
      <c r="E23" s="1" t="s">
        <v>60</v>
      </c>
      <c r="F23" s="1" t="s">
        <v>78</v>
      </c>
      <c r="G23" s="1" t="s">
        <v>134</v>
      </c>
      <c r="H23" s="1" t="s">
        <v>144</v>
      </c>
      <c r="I23" s="1" t="s">
        <v>102</v>
      </c>
      <c r="J23" s="1" t="s">
        <v>816</v>
      </c>
      <c r="K23" s="1" t="s">
        <v>819</v>
      </c>
      <c r="M23" s="1" t="str">
        <f>HYPERLINK("gtip@idc.co.za","gtip@idc.co.za")</f>
        <v>gtip@idc.co.za</v>
      </c>
      <c r="O23" s="1" t="str">
        <f>HYPERLINK("https://www.tourism.gov.za/CurrentProjects/Green_Tourism_Incentive_Programme/Pages/Green_Tourism_Incentive_Programme.aspx", "https://www.tourism.gov.za/")</f>
        <v>https://www.tourism.gov.za/</v>
      </c>
    </row>
    <row r="24" spans="1:15" ht="86.4" x14ac:dyDescent="0.3">
      <c r="A24" s="1" t="s">
        <v>373</v>
      </c>
      <c r="B24" s="1" t="s">
        <v>24</v>
      </c>
      <c r="C24" s="1" t="s">
        <v>58</v>
      </c>
      <c r="D24" s="1" t="s">
        <v>228</v>
      </c>
      <c r="E24" s="1" t="s">
        <v>60</v>
      </c>
      <c r="F24" s="1" t="s">
        <v>390</v>
      </c>
      <c r="G24" s="1" t="s">
        <v>33</v>
      </c>
      <c r="H24" s="1" t="s">
        <v>145</v>
      </c>
      <c r="I24" s="1" t="s">
        <v>103</v>
      </c>
      <c r="J24" s="1" t="s">
        <v>817</v>
      </c>
      <c r="K24" s="1" t="s">
        <v>828</v>
      </c>
      <c r="L24" s="1" t="s">
        <v>158</v>
      </c>
      <c r="M24" s="1" t="str">
        <f>HYPERLINK("mailto:TSithembile@thedti.gov.za","TSithembile@thedti.gov.za")</f>
        <v>TSithembile@thedti.gov.za</v>
      </c>
      <c r="N24" s="1" t="s">
        <v>175</v>
      </c>
      <c r="O24" s="1" t="str">
        <f>HYPERLINK("https://www.thedti.gov.za/financial_assistance/MCEP.jsp","www.thedti.gov.za")</f>
        <v>www.thedti.gov.za</v>
      </c>
    </row>
    <row r="25" spans="1:15" ht="86.4" x14ac:dyDescent="0.3">
      <c r="A25" s="1" t="s">
        <v>373</v>
      </c>
      <c r="B25" s="1" t="s">
        <v>404</v>
      </c>
      <c r="C25" s="1" t="s">
        <v>405</v>
      </c>
      <c r="D25" s="1" t="s">
        <v>228</v>
      </c>
      <c r="E25" s="1" t="s">
        <v>60</v>
      </c>
      <c r="F25" s="1" t="s">
        <v>87</v>
      </c>
      <c r="G25" s="1" t="s">
        <v>33</v>
      </c>
      <c r="H25" s="1" t="s">
        <v>403</v>
      </c>
      <c r="I25" s="1" t="s">
        <v>402</v>
      </c>
      <c r="J25" s="1" t="s">
        <v>816</v>
      </c>
      <c r="K25" s="1" t="s">
        <v>819</v>
      </c>
      <c r="O25" s="1" t="str">
        <f>HYPERLINK("http://www.idc.co.za/development-funds/geef","www.idc.co.za/development-funds/geef")</f>
        <v>www.idc.co.za/development-funds/geef</v>
      </c>
    </row>
    <row r="26" spans="1:15" ht="72" x14ac:dyDescent="0.3">
      <c r="A26" s="1" t="s">
        <v>373</v>
      </c>
      <c r="B26" s="1" t="s">
        <v>24</v>
      </c>
      <c r="C26" s="1" t="s">
        <v>49</v>
      </c>
      <c r="D26" s="1" t="s">
        <v>228</v>
      </c>
      <c r="E26" s="1" t="s">
        <v>60</v>
      </c>
      <c r="F26" s="1" t="s">
        <v>654</v>
      </c>
      <c r="G26" s="1" t="s">
        <v>139</v>
      </c>
      <c r="H26" s="1" t="s">
        <v>738</v>
      </c>
      <c r="I26" s="1" t="s">
        <v>662</v>
      </c>
      <c r="J26" s="1" t="s">
        <v>817</v>
      </c>
      <c r="K26" s="1" t="s">
        <v>828</v>
      </c>
      <c r="L26" s="1" t="s">
        <v>741</v>
      </c>
      <c r="M26" s="1" t="str">
        <f>HYPERLINK("craigs@idc.co.za","craigs@idc.co.za")</f>
        <v>craigs@idc.co.za</v>
      </c>
      <c r="N26" s="7" t="s">
        <v>742</v>
      </c>
      <c r="O26" s="1" t="str">
        <f>HYPERLINK("http://www.investmentincentives.co.za/concept-and-rd/technology-venture-capital-fund","http://www.investmentincentives.co.za/")</f>
        <v>http://www.investmentincentives.co.za/</v>
      </c>
    </row>
    <row r="27" spans="1:15" ht="28.8" x14ac:dyDescent="0.3">
      <c r="A27" s="1" t="s">
        <v>373</v>
      </c>
      <c r="B27" s="1" t="s">
        <v>421</v>
      </c>
      <c r="C27" s="1" t="s">
        <v>200</v>
      </c>
      <c r="D27" s="1" t="s">
        <v>228</v>
      </c>
      <c r="E27" s="1" t="s">
        <v>60</v>
      </c>
      <c r="F27" s="1" t="s">
        <v>204</v>
      </c>
      <c r="G27" s="1" t="s">
        <v>33</v>
      </c>
      <c r="H27" s="1" t="s">
        <v>37</v>
      </c>
      <c r="I27" s="1" t="s">
        <v>112</v>
      </c>
      <c r="J27" s="1" t="s">
        <v>816</v>
      </c>
      <c r="K27" s="1" t="s">
        <v>819</v>
      </c>
      <c r="O27" s="4" t="str">
        <f>HYPERLINK("http://www.idc.co.za/development-funds/geef","www.idc.co.za/development-funds/geef")</f>
        <v>www.idc.co.za/development-funds/geef</v>
      </c>
    </row>
    <row r="28" spans="1:15" ht="57.6" x14ac:dyDescent="0.3">
      <c r="A28" s="1" t="s">
        <v>373</v>
      </c>
      <c r="B28" s="1" t="s">
        <v>24</v>
      </c>
      <c r="C28" s="1" t="s">
        <v>49</v>
      </c>
      <c r="D28" s="1" t="s">
        <v>228</v>
      </c>
      <c r="E28" s="1" t="s">
        <v>60</v>
      </c>
      <c r="F28" s="1" t="s">
        <v>88</v>
      </c>
      <c r="G28" s="1" t="s">
        <v>138</v>
      </c>
      <c r="H28" s="1" t="s">
        <v>148</v>
      </c>
      <c r="I28" s="1" t="s">
        <v>113</v>
      </c>
      <c r="J28" s="1" t="s">
        <v>817</v>
      </c>
      <c r="K28" s="1" t="s">
        <v>828</v>
      </c>
      <c r="O28" s="1" t="str">
        <f>HYPERLINK("http://www.idc.co.za/development-funds/geef","www.idc.co.za/development-funds/geef")</f>
        <v>www.idc.co.za/development-funds/geef</v>
      </c>
    </row>
    <row r="29" spans="1:15" ht="115.2" x14ac:dyDescent="0.3">
      <c r="A29" s="1" t="s">
        <v>373</v>
      </c>
      <c r="B29" s="1" t="s">
        <v>24</v>
      </c>
      <c r="C29" s="1" t="s">
        <v>752</v>
      </c>
      <c r="D29" s="1" t="s">
        <v>228</v>
      </c>
      <c r="E29" s="1" t="s">
        <v>60</v>
      </c>
      <c r="F29" s="1" t="s">
        <v>311</v>
      </c>
      <c r="G29" s="1" t="s">
        <v>139</v>
      </c>
      <c r="H29" s="1" t="s">
        <v>345</v>
      </c>
      <c r="I29" s="1" t="s">
        <v>751</v>
      </c>
      <c r="J29" s="1" t="s">
        <v>817</v>
      </c>
      <c r="K29" s="1" t="s">
        <v>828</v>
      </c>
      <c r="M29" s="1" t="str">
        <f>HYPERLINK("callcentre@idc.co.za","callcentre@idc.co.za")</f>
        <v>callcentre@idc.co.za</v>
      </c>
      <c r="N29" s="1" t="s">
        <v>371</v>
      </c>
      <c r="O29" s="1" t="str">
        <f>HYPERLINK("https://www.idc.co.za/gro-e-youth-scheme/","https://www.idc.co.za/")</f>
        <v>https://www.idc.co.za/</v>
      </c>
    </row>
    <row r="30" spans="1:15" ht="86.4" x14ac:dyDescent="0.3">
      <c r="A30" s="1" t="s">
        <v>23</v>
      </c>
      <c r="B30" s="1" t="s">
        <v>427</v>
      </c>
      <c r="C30" s="1" t="s">
        <v>426</v>
      </c>
      <c r="D30" s="1" t="s">
        <v>228</v>
      </c>
      <c r="E30" s="1" t="s">
        <v>206</v>
      </c>
      <c r="F30" s="1" t="s">
        <v>207</v>
      </c>
      <c r="G30" s="1" t="s">
        <v>33</v>
      </c>
      <c r="I30" s="1" t="s">
        <v>236</v>
      </c>
      <c r="J30" s="1" t="s">
        <v>818</v>
      </c>
      <c r="K30" s="1" t="s">
        <v>823</v>
      </c>
    </row>
    <row r="31" spans="1:15" ht="86.4" x14ac:dyDescent="0.3">
      <c r="A31" s="1" t="s">
        <v>23</v>
      </c>
      <c r="B31" s="1" t="s">
        <v>427</v>
      </c>
      <c r="C31" s="1" t="s">
        <v>426</v>
      </c>
      <c r="D31" s="1" t="s">
        <v>228</v>
      </c>
      <c r="E31" s="1" t="s">
        <v>206</v>
      </c>
      <c r="F31" s="1" t="s">
        <v>208</v>
      </c>
      <c r="G31" s="1" t="s">
        <v>33</v>
      </c>
      <c r="I31" s="1" t="s">
        <v>237</v>
      </c>
      <c r="J31" s="1" t="s">
        <v>818</v>
      </c>
      <c r="K31" s="1" t="s">
        <v>823</v>
      </c>
    </row>
    <row r="32" spans="1:15" ht="86.4" x14ac:dyDescent="0.3">
      <c r="A32" s="1" t="s">
        <v>23</v>
      </c>
      <c r="B32" s="1" t="s">
        <v>427</v>
      </c>
      <c r="C32" s="1" t="s">
        <v>426</v>
      </c>
      <c r="D32" s="1" t="s">
        <v>228</v>
      </c>
      <c r="E32" s="1" t="s">
        <v>206</v>
      </c>
      <c r="F32" s="1" t="s">
        <v>209</v>
      </c>
      <c r="G32" s="1" t="s">
        <v>33</v>
      </c>
      <c r="I32" s="1" t="s">
        <v>238</v>
      </c>
      <c r="J32" s="1" t="s">
        <v>818</v>
      </c>
      <c r="K32" s="1" t="s">
        <v>823</v>
      </c>
    </row>
    <row r="33" spans="1:15" ht="86.4" x14ac:dyDescent="0.3">
      <c r="A33" s="1" t="s">
        <v>23</v>
      </c>
      <c r="B33" s="1" t="s">
        <v>427</v>
      </c>
      <c r="C33" s="1" t="s">
        <v>426</v>
      </c>
      <c r="D33" s="1" t="s">
        <v>228</v>
      </c>
      <c r="E33" s="1" t="s">
        <v>206</v>
      </c>
      <c r="F33" s="1" t="s">
        <v>210</v>
      </c>
      <c r="G33" s="1" t="s">
        <v>33</v>
      </c>
      <c r="I33" s="1" t="s">
        <v>239</v>
      </c>
      <c r="J33" s="1" t="s">
        <v>818</v>
      </c>
      <c r="K33" s="1" t="s">
        <v>823</v>
      </c>
    </row>
    <row r="34" spans="1:15" ht="86.4" x14ac:dyDescent="0.3">
      <c r="A34" s="1" t="s">
        <v>23</v>
      </c>
      <c r="B34" s="1" t="s">
        <v>427</v>
      </c>
      <c r="C34" s="1" t="s">
        <v>426</v>
      </c>
      <c r="D34" s="1" t="s">
        <v>228</v>
      </c>
      <c r="E34" s="1" t="s">
        <v>206</v>
      </c>
      <c r="F34" s="1" t="s">
        <v>211</v>
      </c>
      <c r="G34" s="1" t="s">
        <v>33</v>
      </c>
      <c r="I34" s="1" t="s">
        <v>240</v>
      </c>
      <c r="J34" s="1" t="s">
        <v>818</v>
      </c>
      <c r="K34" s="1" t="s">
        <v>823</v>
      </c>
    </row>
    <row r="35" spans="1:15" ht="86.4" x14ac:dyDescent="0.3">
      <c r="A35" s="1" t="s">
        <v>23</v>
      </c>
      <c r="B35" s="1" t="s">
        <v>427</v>
      </c>
      <c r="C35" s="1" t="s">
        <v>426</v>
      </c>
      <c r="D35" s="1" t="s">
        <v>228</v>
      </c>
      <c r="E35" s="1" t="s">
        <v>206</v>
      </c>
      <c r="F35" s="1" t="s">
        <v>212</v>
      </c>
      <c r="G35" s="1" t="s">
        <v>251</v>
      </c>
      <c r="I35" s="1" t="s">
        <v>241</v>
      </c>
      <c r="J35" s="1" t="s">
        <v>818</v>
      </c>
      <c r="K35" s="1" t="s">
        <v>823</v>
      </c>
    </row>
    <row r="36" spans="1:15" ht="86.4" x14ac:dyDescent="0.3">
      <c r="A36" s="1" t="s">
        <v>23</v>
      </c>
      <c r="B36" s="1" t="s">
        <v>427</v>
      </c>
      <c r="C36" s="1" t="s">
        <v>426</v>
      </c>
      <c r="D36" s="1" t="s">
        <v>228</v>
      </c>
      <c r="E36" s="1" t="s">
        <v>206</v>
      </c>
      <c r="F36" s="1" t="s">
        <v>213</v>
      </c>
      <c r="G36" s="1" t="s">
        <v>33</v>
      </c>
      <c r="I36" s="1" t="s">
        <v>242</v>
      </c>
      <c r="J36" s="1" t="s">
        <v>818</v>
      </c>
      <c r="K36" s="1" t="s">
        <v>823</v>
      </c>
    </row>
    <row r="37" spans="1:15" ht="115.2" x14ac:dyDescent="0.3">
      <c r="A37" s="1" t="s">
        <v>23</v>
      </c>
      <c r="B37" s="1" t="s">
        <v>427</v>
      </c>
      <c r="C37" s="1" t="s">
        <v>426</v>
      </c>
      <c r="D37" s="1" t="s">
        <v>228</v>
      </c>
      <c r="E37" s="1" t="s">
        <v>206</v>
      </c>
      <c r="F37" s="1" t="s">
        <v>214</v>
      </c>
      <c r="G37" s="1" t="s">
        <v>252</v>
      </c>
      <c r="I37" s="1" t="s">
        <v>243</v>
      </c>
      <c r="J37" s="1" t="s">
        <v>818</v>
      </c>
      <c r="K37" s="1" t="s">
        <v>823</v>
      </c>
    </row>
    <row r="38" spans="1:15" ht="144" x14ac:dyDescent="0.3">
      <c r="A38" s="1" t="s">
        <v>373</v>
      </c>
      <c r="B38" s="1" t="s">
        <v>24</v>
      </c>
      <c r="C38" s="1" t="s">
        <v>50</v>
      </c>
      <c r="D38" s="6" t="s">
        <v>228</v>
      </c>
      <c r="E38" s="1" t="s">
        <v>737</v>
      </c>
      <c r="F38" s="1" t="s">
        <v>381</v>
      </c>
      <c r="G38" s="1" t="s">
        <v>33</v>
      </c>
      <c r="H38" s="1" t="s">
        <v>35</v>
      </c>
      <c r="I38" s="1" t="s">
        <v>26</v>
      </c>
      <c r="J38" s="1" t="s">
        <v>818</v>
      </c>
      <c r="K38" s="1" t="s">
        <v>823</v>
      </c>
      <c r="M38" s="1" t="s">
        <v>42</v>
      </c>
      <c r="N38" s="1" t="s">
        <v>39</v>
      </c>
      <c r="O38" s="1" t="s">
        <v>46</v>
      </c>
    </row>
    <row r="39" spans="1:15" ht="72" x14ac:dyDescent="0.3">
      <c r="A39" s="1" t="s">
        <v>373</v>
      </c>
      <c r="B39" s="1" t="s">
        <v>24</v>
      </c>
      <c r="C39" s="1" t="s">
        <v>406</v>
      </c>
      <c r="D39" s="1" t="s">
        <v>228</v>
      </c>
      <c r="E39" s="1" t="s">
        <v>61</v>
      </c>
      <c r="F39" s="1" t="s">
        <v>407</v>
      </c>
      <c r="G39" s="1" t="s">
        <v>33</v>
      </c>
      <c r="H39" s="1" t="s">
        <v>149</v>
      </c>
      <c r="I39" s="1" t="s">
        <v>114</v>
      </c>
      <c r="J39" s="1" t="s">
        <v>817</v>
      </c>
      <c r="K39" s="1" t="s">
        <v>828</v>
      </c>
      <c r="L39" s="1" t="s">
        <v>164</v>
      </c>
      <c r="M39" s="1" t="str">
        <f>HYPERLINK("mailto:westerncape@nefcorp.co.za?subject=Enquiry","westerncape@nefcorp.co.za")</f>
        <v>westerncape@nefcorp.co.za</v>
      </c>
      <c r="N39" s="1" t="s">
        <v>181</v>
      </c>
      <c r="O39" s="1" t="str">
        <f>HYPERLINK("http://www.nefcorp.co.za/","www.nefcorp.co.za/")</f>
        <v>www.nefcorp.co.za/</v>
      </c>
    </row>
    <row r="40" spans="1:15" ht="72" x14ac:dyDescent="0.3">
      <c r="A40" s="1" t="s">
        <v>373</v>
      </c>
      <c r="B40" s="1" t="s">
        <v>24</v>
      </c>
      <c r="C40" s="1" t="s">
        <v>439</v>
      </c>
      <c r="D40" s="1" t="s">
        <v>228</v>
      </c>
      <c r="E40" s="1" t="s">
        <v>294</v>
      </c>
      <c r="F40" s="1" t="s">
        <v>295</v>
      </c>
      <c r="G40" s="1" t="s">
        <v>141</v>
      </c>
      <c r="H40" s="1" t="s">
        <v>37</v>
      </c>
      <c r="I40" s="1" t="s">
        <v>313</v>
      </c>
      <c r="J40" s="1" t="s">
        <v>817</v>
      </c>
      <c r="K40" s="1" t="s">
        <v>828</v>
      </c>
      <c r="M40" s="1" t="str">
        <f>HYPERLINK("mailto:enquiries@sagreenfund.org.za","enquiries@sagreenfund.org.za")</f>
        <v>enquiries@sagreenfund.org.za</v>
      </c>
      <c r="N40" s="1" t="s">
        <v>359</v>
      </c>
      <c r="O40" s="1" t="str">
        <f>HYPERLINK("http://www.sagreenfund.org.za/","www.sagreenfund.org.za")</f>
        <v>www.sagreenfund.org.za</v>
      </c>
    </row>
    <row r="41" spans="1:15" ht="72" x14ac:dyDescent="0.3">
      <c r="A41" s="1" t="s">
        <v>373</v>
      </c>
      <c r="B41" s="1" t="s">
        <v>24</v>
      </c>
      <c r="C41" s="1" t="s">
        <v>441</v>
      </c>
      <c r="D41" s="1" t="s">
        <v>228</v>
      </c>
      <c r="E41" s="1" t="s">
        <v>294</v>
      </c>
      <c r="F41" s="1" t="s">
        <v>440</v>
      </c>
      <c r="G41" s="1" t="s">
        <v>33</v>
      </c>
      <c r="H41" s="1" t="s">
        <v>37</v>
      </c>
      <c r="I41" s="1" t="s">
        <v>314</v>
      </c>
      <c r="J41" s="1" t="s">
        <v>818</v>
      </c>
      <c r="K41" s="1" t="s">
        <v>822</v>
      </c>
      <c r="M41" s="1" t="str">
        <f>HYPERLINK("mailto:iipsa@dbsa.org","iipsa@dbsa.org")</f>
        <v>iipsa@dbsa.org</v>
      </c>
      <c r="O41" s="1" t="str">
        <f>HYPERLINK("http://www.dbsa.org/EN/prodserv/IIPSA/Pages/default.aspx","http://www.dbsa.org/")</f>
        <v>http://www.dbsa.org/</v>
      </c>
    </row>
    <row r="42" spans="1:15" ht="72" x14ac:dyDescent="0.3">
      <c r="A42" s="1" t="s">
        <v>373</v>
      </c>
      <c r="B42" s="1" t="s">
        <v>416</v>
      </c>
      <c r="C42" s="1" t="s">
        <v>442</v>
      </c>
      <c r="D42" s="1" t="s">
        <v>228</v>
      </c>
      <c r="E42" s="1" t="s">
        <v>294</v>
      </c>
      <c r="F42" s="1" t="s">
        <v>296</v>
      </c>
      <c r="G42" s="1" t="s">
        <v>333</v>
      </c>
      <c r="H42" s="1" t="s">
        <v>37</v>
      </c>
      <c r="I42" s="1" t="s">
        <v>315</v>
      </c>
      <c r="J42" s="1" t="s">
        <v>818</v>
      </c>
      <c r="K42" s="1" t="s">
        <v>822</v>
      </c>
      <c r="M42" s="1" t="str">
        <f>HYPERLINK("mailto:sadcppdf@dbsa.org","sadcppdf@dbsa.org")</f>
        <v>sadcppdf@dbsa.org</v>
      </c>
      <c r="O42" s="1" t="str">
        <f>HYPERLINK("http://www.sadcppdf.org/?page_id=469","http://www.sadcppdf.org/")</f>
        <v>http://www.sadcppdf.org/</v>
      </c>
    </row>
    <row r="43" spans="1:15" ht="57.6" x14ac:dyDescent="0.3">
      <c r="A43" s="1" t="s">
        <v>373</v>
      </c>
      <c r="B43" s="1" t="s">
        <v>404</v>
      </c>
      <c r="C43" s="1" t="s">
        <v>299</v>
      </c>
      <c r="D43" s="6" t="s">
        <v>739</v>
      </c>
      <c r="E43" s="1" t="s">
        <v>443</v>
      </c>
      <c r="F43" s="1" t="s">
        <v>740</v>
      </c>
      <c r="G43" s="1" t="s">
        <v>334</v>
      </c>
      <c r="I43" s="1" t="s">
        <v>316</v>
      </c>
      <c r="J43" s="1" t="s">
        <v>816</v>
      </c>
      <c r="K43" s="1" t="s">
        <v>819</v>
      </c>
      <c r="O43" s="1" t="str">
        <f>HYPERLINK("http://www.southsouthnorth.org/sustainable-settlements-facility-ssf/","www.southsouthnorth.org/")</f>
        <v>www.southsouthnorth.org/</v>
      </c>
    </row>
    <row r="44" spans="1:15" ht="144" x14ac:dyDescent="0.3">
      <c r="A44" s="1" t="s">
        <v>373</v>
      </c>
      <c r="B44" s="1" t="s">
        <v>24</v>
      </c>
      <c r="C44" s="1" t="s">
        <v>428</v>
      </c>
      <c r="D44" s="1" t="s">
        <v>229</v>
      </c>
      <c r="E44" s="1" t="s">
        <v>215</v>
      </c>
      <c r="F44" s="1" t="s">
        <v>216</v>
      </c>
      <c r="G44" s="1" t="s">
        <v>33</v>
      </c>
      <c r="H44" s="1" t="s">
        <v>253</v>
      </c>
      <c r="I44" s="1" t="s">
        <v>244</v>
      </c>
      <c r="J44" s="1" t="s">
        <v>817</v>
      </c>
      <c r="K44" s="1" t="s">
        <v>828</v>
      </c>
      <c r="M44" s="1" t="s">
        <v>275</v>
      </c>
      <c r="N44" s="1" t="s">
        <v>264</v>
      </c>
      <c r="O44" s="1" t="s">
        <v>287</v>
      </c>
    </row>
    <row r="45" spans="1:15" ht="129.6" x14ac:dyDescent="0.3">
      <c r="A45" s="1" t="s">
        <v>373</v>
      </c>
      <c r="B45" s="1" t="s">
        <v>24</v>
      </c>
      <c r="C45" s="1" t="s">
        <v>429</v>
      </c>
      <c r="D45" s="1" t="s">
        <v>229</v>
      </c>
      <c r="E45" s="1" t="s">
        <v>217</v>
      </c>
      <c r="F45" s="1" t="s">
        <v>218</v>
      </c>
      <c r="G45" s="1" t="s">
        <v>33</v>
      </c>
      <c r="H45" s="1" t="s">
        <v>37</v>
      </c>
      <c r="I45" s="1" t="s">
        <v>245</v>
      </c>
      <c r="J45" s="1" t="s">
        <v>817</v>
      </c>
      <c r="K45" s="1" t="s">
        <v>828</v>
      </c>
      <c r="M45" s="1" t="s">
        <v>276</v>
      </c>
      <c r="N45" s="1" t="s">
        <v>265</v>
      </c>
      <c r="O45" s="1" t="s">
        <v>288</v>
      </c>
    </row>
    <row r="46" spans="1:15" ht="244.8" x14ac:dyDescent="0.3">
      <c r="A46" s="1" t="s">
        <v>23</v>
      </c>
      <c r="B46" s="1" t="s">
        <v>416</v>
      </c>
      <c r="C46" s="1" t="s">
        <v>430</v>
      </c>
      <c r="D46" s="1" t="s">
        <v>229</v>
      </c>
      <c r="E46" s="1" t="s">
        <v>219</v>
      </c>
      <c r="F46" s="1" t="s">
        <v>220</v>
      </c>
      <c r="G46" s="1" t="s">
        <v>33</v>
      </c>
      <c r="H46" s="1" t="s">
        <v>254</v>
      </c>
      <c r="I46" s="1" t="s">
        <v>246</v>
      </c>
      <c r="J46" s="1" t="s">
        <v>817</v>
      </c>
      <c r="K46" s="1" t="s">
        <v>828</v>
      </c>
      <c r="M46" s="1" t="s">
        <v>277</v>
      </c>
      <c r="N46" s="1" t="s">
        <v>266</v>
      </c>
      <c r="O46" s="1" t="s">
        <v>289</v>
      </c>
    </row>
    <row r="47" spans="1:15" ht="201.6" x14ac:dyDescent="0.3">
      <c r="A47" s="1" t="s">
        <v>373</v>
      </c>
      <c r="B47" s="1" t="s">
        <v>24</v>
      </c>
      <c r="C47" s="1" t="s">
        <v>431</v>
      </c>
      <c r="D47" s="1" t="s">
        <v>229</v>
      </c>
      <c r="E47" s="1" t="s">
        <v>221</v>
      </c>
      <c r="F47" s="1" t="s">
        <v>222</v>
      </c>
      <c r="G47" s="1" t="s">
        <v>33</v>
      </c>
      <c r="H47" s="1" t="s">
        <v>255</v>
      </c>
      <c r="I47" s="1" t="s">
        <v>247</v>
      </c>
      <c r="J47" s="1" t="s">
        <v>817</v>
      </c>
      <c r="K47" s="1" t="s">
        <v>828</v>
      </c>
      <c r="M47" s="1" t="s">
        <v>278</v>
      </c>
      <c r="N47" s="1" t="s">
        <v>267</v>
      </c>
      <c r="O47" s="1" t="s">
        <v>290</v>
      </c>
    </row>
    <row r="48" spans="1:15" ht="57.6" x14ac:dyDescent="0.3">
      <c r="A48" s="1" t="s">
        <v>373</v>
      </c>
      <c r="B48" s="1" t="s">
        <v>24</v>
      </c>
      <c r="C48" s="1" t="s">
        <v>435</v>
      </c>
      <c r="D48" s="1" t="s">
        <v>229</v>
      </c>
      <c r="E48" s="1" t="s">
        <v>224</v>
      </c>
      <c r="F48" s="1" t="s">
        <v>225</v>
      </c>
      <c r="G48" s="1" t="s">
        <v>2</v>
      </c>
      <c r="H48" s="1" t="s">
        <v>37</v>
      </c>
      <c r="I48" s="1" t="s">
        <v>249</v>
      </c>
      <c r="K48" s="1" t="s">
        <v>823</v>
      </c>
      <c r="M48" s="1" t="s">
        <v>280</v>
      </c>
      <c r="N48" s="1" t="s">
        <v>269</v>
      </c>
      <c r="O48" s="1" t="s">
        <v>292</v>
      </c>
    </row>
    <row r="49" spans="3:15" ht="144" x14ac:dyDescent="0.3">
      <c r="C49" s="1" t="s">
        <v>758</v>
      </c>
      <c r="D49" s="1" t="s">
        <v>228</v>
      </c>
      <c r="E49" s="1" t="s">
        <v>758</v>
      </c>
      <c r="F49" s="1" t="s">
        <v>759</v>
      </c>
      <c r="G49" s="1" t="s">
        <v>134</v>
      </c>
      <c r="H49" s="1" t="s">
        <v>780</v>
      </c>
      <c r="I49" s="1" t="s">
        <v>772</v>
      </c>
      <c r="J49" s="1" t="s">
        <v>817</v>
      </c>
      <c r="K49" s="1" t="s">
        <v>828</v>
      </c>
      <c r="L49" s="1" t="s">
        <v>781</v>
      </c>
      <c r="M49" s="1" t="s">
        <v>785</v>
      </c>
      <c r="O49" s="1" t="s">
        <v>786</v>
      </c>
    </row>
    <row r="50" spans="3:15" ht="86.4" x14ac:dyDescent="0.3">
      <c r="C50" s="1" t="s">
        <v>760</v>
      </c>
      <c r="D50" s="1" t="s">
        <v>228</v>
      </c>
      <c r="E50" s="1" t="s">
        <v>760</v>
      </c>
      <c r="F50" s="1" t="s">
        <v>761</v>
      </c>
      <c r="G50" s="1" t="s">
        <v>778</v>
      </c>
      <c r="H50" s="1" t="s">
        <v>37</v>
      </c>
      <c r="I50" s="1" t="s">
        <v>773</v>
      </c>
      <c r="J50" s="1" t="s">
        <v>818</v>
      </c>
      <c r="K50" s="1" t="s">
        <v>822</v>
      </c>
      <c r="L50" s="1" t="s">
        <v>782</v>
      </c>
      <c r="M50" s="1" t="s">
        <v>787</v>
      </c>
      <c r="O50" s="1" t="s">
        <v>788</v>
      </c>
    </row>
    <row r="51" spans="3:15" ht="86.4" x14ac:dyDescent="0.3">
      <c r="C51" s="1" t="s">
        <v>762</v>
      </c>
      <c r="D51" s="1" t="s">
        <v>228</v>
      </c>
      <c r="E51" s="1" t="s">
        <v>762</v>
      </c>
      <c r="G51" s="1" t="s">
        <v>779</v>
      </c>
      <c r="H51" s="1" t="s">
        <v>37</v>
      </c>
      <c r="I51" s="1" t="s">
        <v>774</v>
      </c>
      <c r="J51" s="1" t="s">
        <v>817</v>
      </c>
      <c r="K51" s="1" t="s">
        <v>828</v>
      </c>
      <c r="L51" s="1" t="s">
        <v>783</v>
      </c>
      <c r="M51" s="1" t="s">
        <v>789</v>
      </c>
      <c r="O51" s="1" t="s">
        <v>790</v>
      </c>
    </row>
    <row r="52" spans="3:15" ht="115.2" x14ac:dyDescent="0.3">
      <c r="C52" s="1" t="s">
        <v>763</v>
      </c>
      <c r="D52" s="1" t="s">
        <v>228</v>
      </c>
      <c r="E52" s="1" t="s">
        <v>763</v>
      </c>
      <c r="F52" s="1" t="s">
        <v>764</v>
      </c>
      <c r="G52" s="1" t="s">
        <v>134</v>
      </c>
      <c r="H52" s="1" t="s">
        <v>37</v>
      </c>
      <c r="I52" s="1" t="s">
        <v>775</v>
      </c>
      <c r="J52" s="1" t="s">
        <v>817</v>
      </c>
      <c r="K52" s="1" t="s">
        <v>828</v>
      </c>
      <c r="M52" s="1" t="s">
        <v>791</v>
      </c>
      <c r="O52" s="1" t="s">
        <v>792</v>
      </c>
    </row>
    <row r="53" spans="3:15" ht="129.6" x14ac:dyDescent="0.3">
      <c r="C53" s="1" t="s">
        <v>765</v>
      </c>
      <c r="D53" s="1" t="s">
        <v>228</v>
      </c>
      <c r="E53" s="1" t="s">
        <v>765</v>
      </c>
      <c r="G53" s="1" t="s">
        <v>139</v>
      </c>
      <c r="H53" s="1" t="s">
        <v>37</v>
      </c>
      <c r="I53" s="1" t="s">
        <v>776</v>
      </c>
      <c r="J53" s="1" t="s">
        <v>816</v>
      </c>
      <c r="K53" s="1" t="s">
        <v>819</v>
      </c>
      <c r="L53" s="1" t="s">
        <v>610</v>
      </c>
      <c r="M53" s="1" t="s">
        <v>610</v>
      </c>
      <c r="O53" s="1" t="s">
        <v>793</v>
      </c>
    </row>
    <row r="54" spans="3:15" ht="57.6" x14ac:dyDescent="0.3">
      <c r="C54" s="1" t="s">
        <v>766</v>
      </c>
      <c r="D54" s="1" t="s">
        <v>228</v>
      </c>
      <c r="E54" s="1" t="s">
        <v>766</v>
      </c>
      <c r="G54" s="1" t="s">
        <v>138</v>
      </c>
      <c r="H54" s="1" t="s">
        <v>37</v>
      </c>
      <c r="I54" s="1" t="s">
        <v>777</v>
      </c>
      <c r="J54" s="1" t="s">
        <v>817</v>
      </c>
      <c r="K54" s="1" t="s">
        <v>828</v>
      </c>
      <c r="M54" s="1" t="s">
        <v>794</v>
      </c>
      <c r="O54" s="1" t="s">
        <v>795</v>
      </c>
    </row>
    <row r="55" spans="3:15" ht="43.2" x14ac:dyDescent="0.3">
      <c r="C55" s="1" t="s">
        <v>767</v>
      </c>
      <c r="D55" s="1" t="s">
        <v>228</v>
      </c>
      <c r="E55" s="1" t="s">
        <v>767</v>
      </c>
      <c r="G55" s="1" t="s">
        <v>332</v>
      </c>
      <c r="H55" s="1" t="s">
        <v>37</v>
      </c>
      <c r="I55" s="1" t="s">
        <v>768</v>
      </c>
      <c r="J55" s="1" t="s">
        <v>816</v>
      </c>
      <c r="K55" s="1" t="s">
        <v>819</v>
      </c>
      <c r="L55" s="1" t="s">
        <v>783</v>
      </c>
      <c r="M55" s="1" t="s">
        <v>789</v>
      </c>
      <c r="O55" s="1" t="s">
        <v>796</v>
      </c>
    </row>
    <row r="56" spans="3:15" ht="57.6" x14ac:dyDescent="0.3">
      <c r="C56" s="1" t="s">
        <v>769</v>
      </c>
      <c r="D56" s="1" t="s">
        <v>228</v>
      </c>
      <c r="E56" s="1" t="s">
        <v>769</v>
      </c>
      <c r="F56" s="1" t="s">
        <v>770</v>
      </c>
      <c r="G56" s="1" t="s">
        <v>134</v>
      </c>
      <c r="I56" s="1" t="s">
        <v>771</v>
      </c>
      <c r="J56" s="1" t="s">
        <v>816</v>
      </c>
      <c r="K56" s="1" t="s">
        <v>819</v>
      </c>
      <c r="L56" s="1" t="s">
        <v>784</v>
      </c>
      <c r="M56" s="1" t="s">
        <v>797</v>
      </c>
      <c r="O56" s="1" t="s">
        <v>798</v>
      </c>
    </row>
  </sheetData>
  <autoFilter ref="A1:O56"/>
  <hyperlinks>
    <hyperlink ref="O2"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Input!$A$32:$A$34</xm:f>
          </x14:formula1>
          <xm:sqref>J2:J56</xm:sqref>
        </x14:dataValidation>
        <x14:dataValidation type="list" allowBlank="1" showInputMessage="1" showErrorMessage="1">
          <x14:formula1>
            <xm:f>Input!$A$36:$A$45</xm:f>
          </x14:formula1>
          <xm:sqref>K2:K11 K13:K56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abSelected="1" zoomScale="80" zoomScaleNormal="80" workbookViewId="0">
      <pane ySplit="1" topLeftCell="A2" activePane="bottomLeft" state="frozen"/>
      <selection pane="bottomLeft" activeCell="A59" sqref="A59"/>
    </sheetView>
  </sheetViews>
  <sheetFormatPr defaultColWidth="9.109375" defaultRowHeight="14.4" x14ac:dyDescent="0.3"/>
  <cols>
    <col min="1" max="1" width="14.33203125" style="1" bestFit="1" customWidth="1"/>
    <col min="2" max="2" width="15.88671875" style="1" hidden="1" customWidth="1"/>
    <col min="3" max="3" width="41" style="1" hidden="1" customWidth="1"/>
    <col min="4" max="4" width="24.88671875" style="1" bestFit="1" customWidth="1"/>
    <col min="5" max="5" width="35.44140625" style="1" bestFit="1" customWidth="1"/>
    <col min="6" max="6" width="34" style="1" bestFit="1" customWidth="1"/>
    <col min="7" max="7" width="23.44140625" style="1" bestFit="1" customWidth="1"/>
    <col min="8" max="8" width="28.6640625" style="1" bestFit="1" customWidth="1"/>
    <col min="9" max="9" width="82.88671875" style="1" bestFit="1" customWidth="1"/>
    <col min="10" max="10" width="26.44140625" style="1" bestFit="1" customWidth="1"/>
    <col min="11" max="11" width="23.33203125" style="1" customWidth="1"/>
    <col min="12" max="12" width="27.88671875" style="1" bestFit="1" customWidth="1"/>
    <col min="13" max="13" width="18.88671875" style="1" bestFit="1" customWidth="1"/>
    <col min="14" max="14" width="20.5546875" style="1" bestFit="1" customWidth="1"/>
    <col min="15" max="15" width="24.33203125" style="1" bestFit="1" customWidth="1"/>
    <col min="16" max="16384" width="9.109375" style="1"/>
  </cols>
  <sheetData>
    <row r="1" spans="1:15" s="2" customFormat="1" ht="43.2" x14ac:dyDescent="0.3">
      <c r="A1" s="3" t="s">
        <v>13</v>
      </c>
      <c r="B1" s="3" t="s">
        <v>7</v>
      </c>
      <c r="C1" s="3" t="s">
        <v>8</v>
      </c>
      <c r="D1" s="3" t="s">
        <v>10</v>
      </c>
      <c r="E1" s="3" t="s">
        <v>11</v>
      </c>
      <c r="F1" s="3" t="s">
        <v>20</v>
      </c>
      <c r="G1" s="3" t="s">
        <v>9</v>
      </c>
      <c r="H1" s="3" t="s">
        <v>19</v>
      </c>
      <c r="I1" s="3" t="s">
        <v>0</v>
      </c>
      <c r="J1" s="3" t="s">
        <v>12</v>
      </c>
      <c r="K1" s="3" t="s">
        <v>14</v>
      </c>
      <c r="L1" s="3" t="s">
        <v>16</v>
      </c>
      <c r="M1" s="3" t="s">
        <v>17</v>
      </c>
      <c r="N1" s="3" t="s">
        <v>18</v>
      </c>
      <c r="O1" s="3" t="s">
        <v>15</v>
      </c>
    </row>
    <row r="2" spans="1:15" ht="100.8" x14ac:dyDescent="0.3">
      <c r="A2" s="1" t="s">
        <v>721</v>
      </c>
      <c r="D2" s="1" t="s">
        <v>484</v>
      </c>
      <c r="E2" s="1" t="s">
        <v>455</v>
      </c>
      <c r="F2" s="1" t="s">
        <v>458</v>
      </c>
      <c r="G2" s="1" t="s">
        <v>33</v>
      </c>
      <c r="H2" s="1" t="s">
        <v>468</v>
      </c>
      <c r="I2" s="1" t="s">
        <v>463</v>
      </c>
      <c r="J2" s="1" t="s">
        <v>816</v>
      </c>
      <c r="K2" s="1" t="s">
        <v>819</v>
      </c>
      <c r="N2" s="1" t="s">
        <v>475</v>
      </c>
      <c r="O2" s="1" t="s">
        <v>479</v>
      </c>
    </row>
    <row r="3" spans="1:15" ht="158.4" x14ac:dyDescent="0.3">
      <c r="A3" s="1" t="s">
        <v>721</v>
      </c>
      <c r="D3" s="1" t="s">
        <v>484</v>
      </c>
      <c r="E3" s="1" t="s">
        <v>456</v>
      </c>
      <c r="F3" s="1" t="s">
        <v>460</v>
      </c>
      <c r="G3" s="1" t="s">
        <v>2</v>
      </c>
      <c r="H3" s="1" t="s">
        <v>37</v>
      </c>
      <c r="I3" s="1" t="s">
        <v>465</v>
      </c>
      <c r="J3" s="1" t="s">
        <v>816</v>
      </c>
      <c r="K3" s="1" t="s">
        <v>819</v>
      </c>
      <c r="O3" s="1" t="s">
        <v>481</v>
      </c>
    </row>
    <row r="4" spans="1:15" ht="158.4" x14ac:dyDescent="0.3">
      <c r="A4" s="1" t="s">
        <v>721</v>
      </c>
      <c r="D4" s="1" t="s">
        <v>484</v>
      </c>
      <c r="E4" s="1" t="s">
        <v>457</v>
      </c>
      <c r="F4" s="1" t="s">
        <v>461</v>
      </c>
      <c r="G4" s="1" t="s">
        <v>470</v>
      </c>
      <c r="H4" s="1" t="s">
        <v>37</v>
      </c>
      <c r="I4" s="1" t="s">
        <v>466</v>
      </c>
      <c r="J4" s="1" t="s">
        <v>816</v>
      </c>
      <c r="K4" s="1" t="s">
        <v>819</v>
      </c>
      <c r="L4" s="1" t="s">
        <v>471</v>
      </c>
      <c r="M4" s="1" t="s">
        <v>477</v>
      </c>
      <c r="O4" s="1" t="s">
        <v>482</v>
      </c>
    </row>
    <row r="5" spans="1:15" ht="129.6" x14ac:dyDescent="0.3">
      <c r="A5" s="1" t="s">
        <v>721</v>
      </c>
      <c r="D5" s="1" t="s">
        <v>484</v>
      </c>
      <c r="E5" s="1" t="s">
        <v>457</v>
      </c>
      <c r="F5" s="1" t="s">
        <v>462</v>
      </c>
      <c r="G5" s="1" t="s">
        <v>2</v>
      </c>
      <c r="H5" s="1" t="s">
        <v>37</v>
      </c>
      <c r="I5" s="1" t="s">
        <v>467</v>
      </c>
      <c r="J5" s="1" t="s">
        <v>816</v>
      </c>
      <c r="K5" s="1" t="s">
        <v>819</v>
      </c>
      <c r="L5" s="1" t="s">
        <v>472</v>
      </c>
      <c r="M5" s="1" t="s">
        <v>474</v>
      </c>
      <c r="N5" s="1" t="s">
        <v>478</v>
      </c>
      <c r="O5" s="1" t="s">
        <v>483</v>
      </c>
    </row>
    <row r="6" spans="1:15" ht="57.6" x14ac:dyDescent="0.3">
      <c r="A6" s="1" t="s">
        <v>721</v>
      </c>
      <c r="D6" s="1" t="s">
        <v>484</v>
      </c>
      <c r="E6" s="1" t="s">
        <v>485</v>
      </c>
      <c r="F6" s="1" t="s">
        <v>200</v>
      </c>
      <c r="G6" s="1" t="s">
        <v>520</v>
      </c>
      <c r="H6" s="1" t="s">
        <v>521</v>
      </c>
      <c r="I6" s="1" t="s">
        <v>486</v>
      </c>
      <c r="J6" s="1" t="s">
        <v>816</v>
      </c>
      <c r="K6" s="1" t="s">
        <v>819</v>
      </c>
      <c r="M6" s="1" t="str">
        <f>HYPERLINK("mailto:cebac@absa.co.za","cebac@absa.co.za")</f>
        <v>cebac@absa.co.za</v>
      </c>
      <c r="N6" s="1" t="s">
        <v>541</v>
      </c>
      <c r="O6" s="1" t="str">
        <f>HYPERLINK("http://www.absa.co.za/","www.absa.co.za")</f>
        <v>www.absa.co.za</v>
      </c>
    </row>
    <row r="7" spans="1:15" ht="43.2" x14ac:dyDescent="0.3">
      <c r="A7" s="1" t="s">
        <v>721</v>
      </c>
      <c r="D7" s="1" t="s">
        <v>484</v>
      </c>
      <c r="E7" s="1" t="s">
        <v>487</v>
      </c>
      <c r="F7" s="1" t="s">
        <v>488</v>
      </c>
      <c r="G7" s="1" t="s">
        <v>33</v>
      </c>
      <c r="H7" s="1" t="s">
        <v>522</v>
      </c>
      <c r="I7" s="1" t="s">
        <v>489</v>
      </c>
      <c r="J7" s="1" t="s">
        <v>816</v>
      </c>
      <c r="K7" s="1" t="s">
        <v>822</v>
      </c>
      <c r="M7" s="1" t="s">
        <v>538</v>
      </c>
      <c r="N7" s="1" t="s">
        <v>542</v>
      </c>
      <c r="O7" s="1" t="s">
        <v>552</v>
      </c>
    </row>
    <row r="8" spans="1:15" ht="57.6" x14ac:dyDescent="0.3">
      <c r="A8" s="1" t="s">
        <v>721</v>
      </c>
      <c r="D8" s="1" t="s">
        <v>484</v>
      </c>
      <c r="E8" s="1" t="s">
        <v>492</v>
      </c>
      <c r="F8" s="1" t="s">
        <v>493</v>
      </c>
      <c r="G8" s="1" t="s">
        <v>139</v>
      </c>
      <c r="H8" s="1" t="s">
        <v>524</v>
      </c>
      <c r="I8" s="1" t="s">
        <v>494</v>
      </c>
      <c r="J8" s="1" t="s">
        <v>817</v>
      </c>
      <c r="K8" s="1" t="s">
        <v>828</v>
      </c>
      <c r="L8" s="1" t="s">
        <v>532</v>
      </c>
      <c r="M8" s="1" t="str">
        <f>HYPERLINK("mailto:Robert.Gecelter@investec.co.za","Robert.Gecelter@investec.co.za 
Fazel.Moosa@investec.co.za")</f>
        <v>Robert.Gecelter@investec.co.za 
Fazel.Moosa@investec.co.za</v>
      </c>
      <c r="N8" s="1" t="s">
        <v>543</v>
      </c>
      <c r="O8" s="1" t="str">
        <f>HYPERLINK("http://www.investec.co.za/products-and-services/financing-and-lending/power--infrastructure-and-telecoms.html","www.investec.co.za/")</f>
        <v>www.investec.co.za/</v>
      </c>
    </row>
    <row r="9" spans="1:15" ht="86.4" x14ac:dyDescent="0.3">
      <c r="A9" s="1" t="s">
        <v>721</v>
      </c>
      <c r="D9" s="1" t="s">
        <v>484</v>
      </c>
      <c r="E9" s="1" t="s">
        <v>495</v>
      </c>
      <c r="F9" s="1" t="s">
        <v>496</v>
      </c>
      <c r="G9" s="1" t="s">
        <v>33</v>
      </c>
      <c r="H9" s="1" t="s">
        <v>525</v>
      </c>
      <c r="I9" s="1" t="s">
        <v>497</v>
      </c>
      <c r="J9" s="1" t="s">
        <v>816</v>
      </c>
      <c r="K9" s="1" t="s">
        <v>819</v>
      </c>
      <c r="L9" s="1" t="s">
        <v>533</v>
      </c>
      <c r="M9" s="1" t="str">
        <f>HYPERLINK("mailto:PeterP@merchantwest.co.za","PeterP@merchantwest.co.za")</f>
        <v>PeterP@merchantwest.co.za</v>
      </c>
      <c r="N9" s="1" t="s">
        <v>544</v>
      </c>
      <c r="O9" s="1" t="str">
        <f>HYPERLINK("http://www.merchantwest.co.za ","www.merchantwest.co.za ")</f>
        <v>www.merchantwest.co.za </v>
      </c>
    </row>
    <row r="10" spans="1:15" ht="43.2" x14ac:dyDescent="0.3">
      <c r="A10" s="1" t="s">
        <v>721</v>
      </c>
      <c r="D10" s="1" t="s">
        <v>484</v>
      </c>
      <c r="E10" s="1" t="s">
        <v>457</v>
      </c>
      <c r="F10" s="1" t="s">
        <v>498</v>
      </c>
      <c r="G10" s="1" t="s">
        <v>134</v>
      </c>
      <c r="H10" s="1" t="s">
        <v>37</v>
      </c>
      <c r="I10" s="1" t="s">
        <v>499</v>
      </c>
      <c r="J10" s="1" t="s">
        <v>817</v>
      </c>
      <c r="K10" s="1" t="s">
        <v>828</v>
      </c>
      <c r="M10" s="1" t="s">
        <v>539</v>
      </c>
      <c r="O10" s="1" t="str">
        <f>HYPERLINK("http://hoheisentrust.org/index.php","http://hoheisentrust.org/")</f>
        <v>http://hoheisentrust.org/</v>
      </c>
    </row>
    <row r="11" spans="1:15" ht="57.6" x14ac:dyDescent="0.3">
      <c r="A11" s="1" t="s">
        <v>721</v>
      </c>
      <c r="D11" s="1" t="s">
        <v>484</v>
      </c>
      <c r="E11" s="1" t="s">
        <v>500</v>
      </c>
      <c r="F11" s="1" t="s">
        <v>501</v>
      </c>
      <c r="G11" s="1" t="s">
        <v>134</v>
      </c>
      <c r="H11" s="1" t="s">
        <v>526</v>
      </c>
      <c r="I11" s="1" t="s">
        <v>502</v>
      </c>
      <c r="J11" s="1" t="s">
        <v>817</v>
      </c>
      <c r="K11" s="1" t="s">
        <v>828</v>
      </c>
      <c r="N11" s="1" t="s">
        <v>545</v>
      </c>
      <c r="O11" s="1" t="str">
        <f>HYPERLINK("https://www.wwf.org.za/wwf_nedbank_gt_funding.cfm","https://www.wwf.org.za/")</f>
        <v>https://www.wwf.org.za/</v>
      </c>
    </row>
    <row r="12" spans="1:15" ht="72" x14ac:dyDescent="0.3">
      <c r="A12" s="1" t="s">
        <v>721</v>
      </c>
      <c r="D12" s="1" t="s">
        <v>484</v>
      </c>
      <c r="E12" s="1" t="s">
        <v>503</v>
      </c>
      <c r="F12" s="1" t="s">
        <v>504</v>
      </c>
      <c r="G12" s="1" t="s">
        <v>332</v>
      </c>
      <c r="H12" s="1" t="s">
        <v>37</v>
      </c>
      <c r="I12" s="1" t="s">
        <v>505</v>
      </c>
      <c r="J12" s="1" t="s">
        <v>817</v>
      </c>
      <c r="K12" s="1" t="s">
        <v>828</v>
      </c>
      <c r="L12" s="1" t="s">
        <v>534</v>
      </c>
      <c r="M12" s="1" t="str">
        <f>HYPERLINK("mailto:MMaponya@omigsa.com","MMaponya@omigsa.com")</f>
        <v>MMaponya@omigsa.com</v>
      </c>
      <c r="N12" s="1" t="s">
        <v>546</v>
      </c>
      <c r="O12" s="1" t="str">
        <f>HYPERLINK("http://www.oldmutual.co.za/","www.oldmutual.co.za")</f>
        <v>www.oldmutual.co.za</v>
      </c>
    </row>
    <row r="13" spans="1:15" ht="72" x14ac:dyDescent="0.3">
      <c r="A13" s="1" t="s">
        <v>721</v>
      </c>
      <c r="D13" s="1" t="s">
        <v>484</v>
      </c>
      <c r="E13" s="1" t="s">
        <v>506</v>
      </c>
      <c r="F13" s="1" t="s">
        <v>507</v>
      </c>
      <c r="G13" s="1" t="s">
        <v>138</v>
      </c>
      <c r="H13" s="1" t="s">
        <v>527</v>
      </c>
      <c r="I13" s="1" t="s">
        <v>508</v>
      </c>
      <c r="J13" s="1" t="s">
        <v>816</v>
      </c>
      <c r="K13" s="1" t="s">
        <v>819</v>
      </c>
      <c r="L13" s="1" t="s">
        <v>535</v>
      </c>
      <c r="M13" s="1" t="s">
        <v>540</v>
      </c>
      <c r="N13" s="1" t="s">
        <v>547</v>
      </c>
      <c r="O13" s="1" t="s">
        <v>553</v>
      </c>
    </row>
    <row r="14" spans="1:15" ht="43.2" x14ac:dyDescent="0.3">
      <c r="A14" s="1" t="s">
        <v>721</v>
      </c>
      <c r="D14" s="1" t="s">
        <v>484</v>
      </c>
      <c r="E14" s="1" t="s">
        <v>509</v>
      </c>
      <c r="G14" s="1" t="s">
        <v>528</v>
      </c>
      <c r="H14" s="1" t="s">
        <v>37</v>
      </c>
      <c r="I14" s="1" t="s">
        <v>510</v>
      </c>
      <c r="J14" s="1" t="s">
        <v>816</v>
      </c>
      <c r="K14" s="1" t="s">
        <v>819</v>
      </c>
      <c r="L14" s="1" t="s">
        <v>536</v>
      </c>
      <c r="M14" s="1" t="str">
        <f>HYPERLINK("mailto:Candice.Pretorius@sunlyn.co.za","Candice.Pretorius@sunlyn.co.za")</f>
        <v>Candice.Pretorius@sunlyn.co.za</v>
      </c>
      <c r="N14" s="1" t="s">
        <v>548</v>
      </c>
      <c r="O14" s="1" t="str">
        <f>HYPERLINK("http://www.sasfin.com/divisions/business/equipment-finance/eco-finance/","www.sasfin.com/")</f>
        <v>www.sasfin.com/</v>
      </c>
    </row>
    <row r="15" spans="1:15" ht="100.8" x14ac:dyDescent="0.3">
      <c r="A15" s="1" t="s">
        <v>721</v>
      </c>
      <c r="D15" s="1" t="s">
        <v>484</v>
      </c>
      <c r="E15" s="1" t="s">
        <v>511</v>
      </c>
      <c r="G15" s="1" t="s">
        <v>33</v>
      </c>
      <c r="H15" s="1" t="s">
        <v>529</v>
      </c>
      <c r="I15" s="1" t="s">
        <v>512</v>
      </c>
      <c r="J15" s="1" t="s">
        <v>817</v>
      </c>
      <c r="K15" s="1" t="s">
        <v>828</v>
      </c>
      <c r="L15" s="1" t="s">
        <v>537</v>
      </c>
      <c r="M15" s="1" t="str">
        <f>HYPERLINK("mailto:Vonani@scfcap.com","Vonani@scfcap.com")</f>
        <v>Vonani@scfcap.com</v>
      </c>
      <c r="N15" s="1" t="s">
        <v>549</v>
      </c>
      <c r="O15" s="1" t="str">
        <f>HYPERLINK("http://www.scfcap.com/","www.scfcap.com/")</f>
        <v>www.scfcap.com/</v>
      </c>
    </row>
    <row r="16" spans="1:15" ht="72" x14ac:dyDescent="0.3">
      <c r="A16" s="1" t="s">
        <v>721</v>
      </c>
      <c r="D16" s="1" t="s">
        <v>484</v>
      </c>
      <c r="E16" s="1" t="s">
        <v>70</v>
      </c>
      <c r="F16" s="1" t="s">
        <v>93</v>
      </c>
      <c r="G16" s="1" t="s">
        <v>33</v>
      </c>
      <c r="H16" s="1" t="s">
        <v>37</v>
      </c>
      <c r="I16" s="1" t="s">
        <v>125</v>
      </c>
      <c r="J16" s="1" t="s">
        <v>817</v>
      </c>
      <c r="K16" s="1" t="s">
        <v>828</v>
      </c>
      <c r="N16" s="1" t="s">
        <v>550</v>
      </c>
      <c r="O16" s="1" t="s">
        <v>554</v>
      </c>
    </row>
    <row r="17" spans="1:15" ht="72" x14ac:dyDescent="0.3">
      <c r="A17" s="1" t="s">
        <v>721</v>
      </c>
      <c r="D17" s="1" t="s">
        <v>484</v>
      </c>
      <c r="E17" s="1" t="s">
        <v>513</v>
      </c>
      <c r="G17" s="1" t="s">
        <v>33</v>
      </c>
      <c r="H17" s="1" t="s">
        <v>37</v>
      </c>
      <c r="I17" s="1" t="s">
        <v>514</v>
      </c>
      <c r="J17" s="1" t="s">
        <v>816</v>
      </c>
      <c r="K17" s="1" t="s">
        <v>819</v>
      </c>
      <c r="O17" s="1" t="str">
        <f>HYPERLINK("http://www.standardbank.co.za/","www.standardbank.co.za")</f>
        <v>www.standardbank.co.za</v>
      </c>
    </row>
    <row r="18" spans="1:15" ht="100.8" x14ac:dyDescent="0.3">
      <c r="A18" s="1" t="s">
        <v>721</v>
      </c>
      <c r="D18" s="1" t="s">
        <v>484</v>
      </c>
      <c r="E18" s="1" t="s">
        <v>518</v>
      </c>
      <c r="F18" s="1" t="s">
        <v>516</v>
      </c>
      <c r="G18" s="1" t="s">
        <v>531</v>
      </c>
      <c r="H18" s="1" t="s">
        <v>37</v>
      </c>
      <c r="I18" s="1" t="s">
        <v>519</v>
      </c>
      <c r="J18" s="1" t="s">
        <v>817</v>
      </c>
      <c r="K18" s="1" t="s">
        <v>828</v>
      </c>
      <c r="N18" s="1" t="s">
        <v>551</v>
      </c>
      <c r="O18" s="1" t="str">
        <f>HYPERLINK("https://www.business.hsbc.co.za/en-gb/capability/working-capital","https://www.business.hsbc.co.za/")</f>
        <v>https://www.business.hsbc.co.za/</v>
      </c>
    </row>
    <row r="19" spans="1:15" ht="187.2" x14ac:dyDescent="0.3">
      <c r="A19" s="1" t="s">
        <v>23</v>
      </c>
      <c r="B19" s="1" t="s">
        <v>746</v>
      </c>
      <c r="C19" s="1" t="s">
        <v>747</v>
      </c>
      <c r="D19" s="6" t="s">
        <v>743</v>
      </c>
      <c r="E19" s="1" t="s">
        <v>744</v>
      </c>
      <c r="F19" s="1" t="s">
        <v>459</v>
      </c>
      <c r="G19" s="1" t="s">
        <v>33</v>
      </c>
      <c r="H19" s="1" t="s">
        <v>469</v>
      </c>
      <c r="I19" s="1" t="s">
        <v>464</v>
      </c>
      <c r="J19" s="1" t="s">
        <v>816</v>
      </c>
      <c r="K19" s="1" t="s">
        <v>819</v>
      </c>
      <c r="M19" s="1" t="s">
        <v>476</v>
      </c>
      <c r="N19" s="1" t="s">
        <v>473</v>
      </c>
      <c r="O19" s="4" t="s">
        <v>480</v>
      </c>
    </row>
    <row r="20" spans="1:15" ht="115.2" x14ac:dyDescent="0.3">
      <c r="A20" s="1" t="s">
        <v>23</v>
      </c>
      <c r="B20" s="1" t="s">
        <v>745</v>
      </c>
      <c r="D20" s="6" t="s">
        <v>743</v>
      </c>
      <c r="E20" s="1" t="s">
        <v>490</v>
      </c>
      <c r="G20" s="1" t="s">
        <v>33</v>
      </c>
      <c r="H20" s="1" t="s">
        <v>523</v>
      </c>
      <c r="I20" s="1" t="s">
        <v>491</v>
      </c>
      <c r="J20" s="1" t="s">
        <v>817</v>
      </c>
      <c r="K20" s="1" t="s">
        <v>828</v>
      </c>
      <c r="M20" s="1" t="str">
        <f>HYPERLINK("mailto:info@grofin.com","info@grofin.com")</f>
        <v>info@grofin.com</v>
      </c>
      <c r="O20" s="1" t="str">
        <f>HYPERLINK("http://www.grofin.com/sme-finance-solutions/finance-for-your-business.aspx","www.grofin.com/")</f>
        <v>www.grofin.com/</v>
      </c>
    </row>
    <row r="21" spans="1:15" ht="100.8" x14ac:dyDescent="0.3">
      <c r="D21" s="1" t="s">
        <v>580</v>
      </c>
      <c r="E21" s="1" t="s">
        <v>727</v>
      </c>
      <c r="F21" s="1" t="s">
        <v>674</v>
      </c>
      <c r="G21" s="1" t="s">
        <v>33</v>
      </c>
      <c r="H21" s="1" t="s">
        <v>37</v>
      </c>
      <c r="I21" s="1" t="s">
        <v>681</v>
      </c>
      <c r="J21" s="1" t="s">
        <v>817</v>
      </c>
      <c r="K21" s="1" t="s">
        <v>823</v>
      </c>
      <c r="M21" s="1" t="s">
        <v>692</v>
      </c>
      <c r="N21" s="1" t="s">
        <v>688</v>
      </c>
      <c r="O21" s="1" t="s">
        <v>696</v>
      </c>
    </row>
    <row r="22" spans="1:15" ht="100.8" x14ac:dyDescent="0.3">
      <c r="D22" s="1" t="s">
        <v>580</v>
      </c>
      <c r="E22" s="1" t="s">
        <v>555</v>
      </c>
      <c r="F22" s="1" t="s">
        <v>556</v>
      </c>
      <c r="G22" s="1" t="s">
        <v>332</v>
      </c>
      <c r="H22" s="1" t="s">
        <v>569</v>
      </c>
      <c r="I22" s="1" t="s">
        <v>564</v>
      </c>
      <c r="J22" s="1" t="s">
        <v>817</v>
      </c>
      <c r="K22" s="1" t="s">
        <v>823</v>
      </c>
      <c r="M22" s="1" t="s">
        <v>573</v>
      </c>
      <c r="N22" s="1" t="s">
        <v>571</v>
      </c>
      <c r="O22" s="1" t="s">
        <v>576</v>
      </c>
    </row>
    <row r="23" spans="1:15" ht="115.2" x14ac:dyDescent="0.3">
      <c r="D23" s="1" t="s">
        <v>580</v>
      </c>
      <c r="E23" s="1" t="s">
        <v>557</v>
      </c>
      <c r="F23" s="1" t="s">
        <v>558</v>
      </c>
      <c r="G23" s="1" t="s">
        <v>332</v>
      </c>
      <c r="H23" s="1" t="s">
        <v>37</v>
      </c>
      <c r="I23" s="1" t="s">
        <v>565</v>
      </c>
      <c r="J23" s="1" t="s">
        <v>816</v>
      </c>
      <c r="K23" s="1" t="s">
        <v>819</v>
      </c>
      <c r="L23" s="1" t="s">
        <v>570</v>
      </c>
      <c r="M23" s="1" t="s">
        <v>574</v>
      </c>
      <c r="O23" s="1" t="s">
        <v>577</v>
      </c>
    </row>
    <row r="24" spans="1:15" ht="100.8" x14ac:dyDescent="0.3">
      <c r="D24" s="1" t="s">
        <v>580</v>
      </c>
      <c r="E24" s="1" t="s">
        <v>559</v>
      </c>
      <c r="F24" s="1" t="s">
        <v>560</v>
      </c>
      <c r="G24" s="1" t="s">
        <v>332</v>
      </c>
      <c r="H24" s="1" t="s">
        <v>37</v>
      </c>
      <c r="I24" s="1" t="s">
        <v>566</v>
      </c>
      <c r="J24" s="1" t="s">
        <v>816</v>
      </c>
      <c r="K24" s="1" t="s">
        <v>819</v>
      </c>
      <c r="O24" s="1" t="s">
        <v>578</v>
      </c>
    </row>
    <row r="25" spans="1:15" ht="72" x14ac:dyDescent="0.3">
      <c r="D25" s="1" t="s">
        <v>580</v>
      </c>
      <c r="E25" s="1" t="s">
        <v>561</v>
      </c>
      <c r="F25" s="1" t="s">
        <v>728</v>
      </c>
      <c r="G25" s="1" t="s">
        <v>332</v>
      </c>
      <c r="H25" s="1" t="s">
        <v>37</v>
      </c>
      <c r="I25" s="1" t="s">
        <v>567</v>
      </c>
      <c r="J25" s="1" t="s">
        <v>816</v>
      </c>
      <c r="K25" s="1" t="s">
        <v>819</v>
      </c>
      <c r="M25" s="1" t="s">
        <v>575</v>
      </c>
      <c r="N25" s="1" t="s">
        <v>572</v>
      </c>
      <c r="O25" s="1" t="s">
        <v>579</v>
      </c>
    </row>
    <row r="26" spans="1:15" ht="28.8" x14ac:dyDescent="0.3">
      <c r="D26" s="1" t="s">
        <v>580</v>
      </c>
      <c r="E26" s="1" t="s">
        <v>562</v>
      </c>
      <c r="F26" s="1" t="s">
        <v>563</v>
      </c>
      <c r="H26" s="1" t="s">
        <v>37</v>
      </c>
      <c r="I26" s="1" t="s">
        <v>568</v>
      </c>
      <c r="J26" s="1" t="s">
        <v>816</v>
      </c>
      <c r="K26" s="1" t="s">
        <v>819</v>
      </c>
    </row>
    <row r="27" spans="1:15" ht="86.4" x14ac:dyDescent="0.3">
      <c r="D27" s="1" t="s">
        <v>580</v>
      </c>
      <c r="E27" s="1" t="s">
        <v>581</v>
      </c>
      <c r="F27" s="1" t="s">
        <v>130</v>
      </c>
      <c r="G27" s="1" t="s">
        <v>332</v>
      </c>
      <c r="H27" s="1" t="s">
        <v>37</v>
      </c>
      <c r="I27" s="1" t="s">
        <v>593</v>
      </c>
      <c r="J27" s="1" t="s">
        <v>816</v>
      </c>
      <c r="K27" s="1" t="s">
        <v>819</v>
      </c>
      <c r="M27" s="1" t="s">
        <v>614</v>
      </c>
      <c r="O27" s="1" t="s">
        <v>624</v>
      </c>
    </row>
    <row r="28" spans="1:15" ht="72" x14ac:dyDescent="0.3">
      <c r="D28" s="1" t="s">
        <v>580</v>
      </c>
      <c r="E28" s="1" t="s">
        <v>582</v>
      </c>
      <c r="F28" s="1" t="s">
        <v>609</v>
      </c>
      <c r="G28" s="1" t="s">
        <v>332</v>
      </c>
      <c r="H28" s="1" t="s">
        <v>37</v>
      </c>
      <c r="I28" s="1" t="s">
        <v>594</v>
      </c>
      <c r="J28" s="1" t="s">
        <v>816</v>
      </c>
      <c r="K28" s="1" t="s">
        <v>819</v>
      </c>
      <c r="M28" s="1" t="str">
        <f>HYPERLINK("mailto:info@adlevocapital.com","info@adlevocapital.com")</f>
        <v>info@adlevocapital.com</v>
      </c>
      <c r="O28" s="1" t="str">
        <f>HYPERLINK("http://www.adlevocapital.com/ourpeople.html","www.adlevocapital.com/ourpeople.html")</f>
        <v>www.adlevocapital.com/ourpeople.html</v>
      </c>
    </row>
    <row r="29" spans="1:15" ht="72" x14ac:dyDescent="0.3">
      <c r="D29" s="1" t="s">
        <v>580</v>
      </c>
      <c r="E29" s="1" t="s">
        <v>583</v>
      </c>
      <c r="F29" s="1" t="s">
        <v>131</v>
      </c>
      <c r="G29" s="1" t="s">
        <v>33</v>
      </c>
      <c r="H29" s="1" t="s">
        <v>605</v>
      </c>
      <c r="I29" s="1" t="s">
        <v>595</v>
      </c>
      <c r="J29" s="1" t="s">
        <v>817</v>
      </c>
      <c r="K29" s="1" t="s">
        <v>828</v>
      </c>
      <c r="M29" s="1" t="s">
        <v>615</v>
      </c>
      <c r="N29" s="1" t="s">
        <v>618</v>
      </c>
      <c r="O29" s="1" t="str">
        <f>HYPERLINK("http://www.atlanticam.com/","www.atlanticam.com/")</f>
        <v>www.atlanticam.com/</v>
      </c>
    </row>
    <row r="30" spans="1:15" ht="115.2" x14ac:dyDescent="0.3">
      <c r="D30" s="1" t="s">
        <v>580</v>
      </c>
      <c r="E30" s="1" t="s">
        <v>584</v>
      </c>
      <c r="F30" s="1" t="s">
        <v>131</v>
      </c>
      <c r="G30" s="1" t="s">
        <v>139</v>
      </c>
      <c r="H30" s="1" t="s">
        <v>606</v>
      </c>
      <c r="I30" s="1" t="s">
        <v>596</v>
      </c>
      <c r="J30" s="1" t="s">
        <v>817</v>
      </c>
      <c r="K30" s="1" t="s">
        <v>828</v>
      </c>
      <c r="L30" s="1" t="s">
        <v>610</v>
      </c>
      <c r="M30" s="1" t="str">
        <f>HYPERLINK("mailto:enquiries@businesspartners.co.za","enquiries@businesspartners.co.za")</f>
        <v>enquiries@businesspartners.co.za</v>
      </c>
      <c r="N30" s="1" t="s">
        <v>619</v>
      </c>
      <c r="O30" s="1" t="str">
        <f>HYPERLINK("http://www.businesspartners.co.za/","www.businesspartners.co.za")</f>
        <v>www.businesspartners.co.za</v>
      </c>
    </row>
    <row r="31" spans="1:15" ht="187.2" x14ac:dyDescent="0.3">
      <c r="D31" s="1" t="s">
        <v>580</v>
      </c>
      <c r="E31" s="1" t="s">
        <v>585</v>
      </c>
      <c r="F31" s="1" t="s">
        <v>130</v>
      </c>
      <c r="G31" s="1" t="s">
        <v>332</v>
      </c>
      <c r="H31" s="1" t="s">
        <v>607</v>
      </c>
      <c r="I31" s="1" t="s">
        <v>597</v>
      </c>
      <c r="J31" s="1" t="s">
        <v>816</v>
      </c>
      <c r="K31" s="1" t="s">
        <v>819</v>
      </c>
      <c r="L31" s="1" t="s">
        <v>611</v>
      </c>
      <c r="M31" s="1" t="str">
        <f>HYPERLINK("mailto:Chris@inspiredevolution.co.za","Chris@inspiredevolution.co.za")</f>
        <v>Chris@inspiredevolution.co.za</v>
      </c>
      <c r="N31" s="1" t="s">
        <v>620</v>
      </c>
      <c r="O31" s="1" t="str">
        <f>HYPERLINK("http://www.inspiredevolution.co.za/","www.inspiredevolution.co.za")</f>
        <v>www.inspiredevolution.co.za</v>
      </c>
    </row>
    <row r="32" spans="1:15" ht="86.4" x14ac:dyDescent="0.3">
      <c r="D32" s="1" t="s">
        <v>580</v>
      </c>
      <c r="E32" s="1" t="s">
        <v>586</v>
      </c>
      <c r="F32" s="1" t="s">
        <v>130</v>
      </c>
      <c r="G32" s="1" t="s">
        <v>139</v>
      </c>
      <c r="H32" s="1" t="s">
        <v>37</v>
      </c>
      <c r="I32" s="1" t="s">
        <v>598</v>
      </c>
      <c r="J32" s="1" t="s">
        <v>816</v>
      </c>
      <c r="K32" s="1" t="s">
        <v>819</v>
      </c>
      <c r="M32" s="1" t="str">
        <f>HYPERLINK("mailto:info@persistentnrg.com","info@persistentnrg.com")</f>
        <v>info@persistentnrg.com</v>
      </c>
      <c r="O32" s="1" t="str">
        <f>HYPERLINK("http://www.persistentenergypartners.com/","www.persistentenergypartners.com")</f>
        <v>www.persistentenergypartners.com</v>
      </c>
    </row>
    <row r="33" spans="1:15" ht="115.2" x14ac:dyDescent="0.3">
      <c r="D33" s="1" t="s">
        <v>580</v>
      </c>
      <c r="E33" s="1" t="s">
        <v>587</v>
      </c>
      <c r="F33" s="1" t="s">
        <v>131</v>
      </c>
      <c r="G33" s="1" t="s">
        <v>139</v>
      </c>
      <c r="H33" s="1" t="s">
        <v>608</v>
      </c>
      <c r="I33" s="1" t="s">
        <v>599</v>
      </c>
      <c r="J33" s="1" t="s">
        <v>817</v>
      </c>
      <c r="K33" s="1" t="s">
        <v>828</v>
      </c>
      <c r="L33" s="1" t="s">
        <v>612</v>
      </c>
      <c r="M33" s="1" t="str">
        <f>HYPERLINK("mailto:Thato@senatlacapital.com","Thato@senatlacapital.com")</f>
        <v>Thato@senatlacapital.com</v>
      </c>
      <c r="N33" s="1" t="s">
        <v>621</v>
      </c>
      <c r="O33" s="1" t="str">
        <f>HYPERLINK("http://www.senatlacapital.com/","www.senatlacapital.com/")</f>
        <v>www.senatlacapital.com/</v>
      </c>
    </row>
    <row r="34" spans="1:15" ht="115.2" x14ac:dyDescent="0.3">
      <c r="D34" s="1" t="s">
        <v>580</v>
      </c>
      <c r="E34" s="1" t="s">
        <v>588</v>
      </c>
      <c r="F34" s="1" t="s">
        <v>130</v>
      </c>
      <c r="G34" s="1" t="s">
        <v>332</v>
      </c>
      <c r="H34" s="1" t="s">
        <v>37</v>
      </c>
      <c r="I34" s="1" t="s">
        <v>600</v>
      </c>
      <c r="J34" s="1" t="s">
        <v>816</v>
      </c>
      <c r="K34" s="1" t="s">
        <v>819</v>
      </c>
      <c r="M34" s="1" t="s">
        <v>616</v>
      </c>
      <c r="N34" s="1" t="s">
        <v>622</v>
      </c>
      <c r="O34" s="1" t="s">
        <v>625</v>
      </c>
    </row>
    <row r="35" spans="1:15" ht="28.8" x14ac:dyDescent="0.3">
      <c r="D35" s="1" t="s">
        <v>580</v>
      </c>
      <c r="E35" s="1" t="s">
        <v>589</v>
      </c>
      <c r="F35" s="1" t="s">
        <v>131</v>
      </c>
      <c r="G35" s="1" t="s">
        <v>332</v>
      </c>
      <c r="H35" s="1" t="s">
        <v>37</v>
      </c>
      <c r="I35" s="1" t="s">
        <v>601</v>
      </c>
      <c r="J35" s="1" t="s">
        <v>817</v>
      </c>
      <c r="K35" s="1" t="s">
        <v>828</v>
      </c>
      <c r="O35" s="1" t="str">
        <f>HYPERLINK("http://www.treacle.co.za/","www.treacle.co.za/")</f>
        <v>www.treacle.co.za/</v>
      </c>
    </row>
    <row r="36" spans="1:15" ht="57.6" x14ac:dyDescent="0.3">
      <c r="D36" s="1" t="s">
        <v>580</v>
      </c>
      <c r="E36" s="1" t="s">
        <v>590</v>
      </c>
      <c r="F36" s="1" t="s">
        <v>131</v>
      </c>
      <c r="G36" s="1" t="s">
        <v>332</v>
      </c>
      <c r="H36" s="1" t="s">
        <v>37</v>
      </c>
      <c r="I36" s="1" t="s">
        <v>602</v>
      </c>
      <c r="J36" s="1" t="s">
        <v>817</v>
      </c>
      <c r="K36" s="1" t="s">
        <v>828</v>
      </c>
      <c r="M36" s="1" t="str">
        <f>HYPERLINK("mailto:info@trivest.co.za","info@trivest.co.za")</f>
        <v>info@trivest.co.za</v>
      </c>
      <c r="O36" s="1" t="str">
        <f>HYPERLINK("http://www.trivest.co.za/AboutUs/Introduction.aspx","www.trivest.co.za/AboutUs/Introduction.aspx")</f>
        <v>www.trivest.co.za/AboutUs/Introduction.aspx</v>
      </c>
    </row>
    <row r="37" spans="1:15" ht="201.6" x14ac:dyDescent="0.3">
      <c r="D37" s="1" t="s">
        <v>580</v>
      </c>
      <c r="E37" s="1" t="s">
        <v>591</v>
      </c>
      <c r="F37" s="1" t="s">
        <v>132</v>
      </c>
      <c r="G37" s="1" t="s">
        <v>332</v>
      </c>
      <c r="H37" s="1" t="s">
        <v>37</v>
      </c>
      <c r="I37" s="1" t="s">
        <v>603</v>
      </c>
      <c r="J37" s="1" t="s">
        <v>817</v>
      </c>
      <c r="K37" s="1" t="s">
        <v>823</v>
      </c>
      <c r="L37" s="1" t="s">
        <v>613</v>
      </c>
      <c r="M37" s="1" t="s">
        <v>617</v>
      </c>
      <c r="N37" s="1" t="s">
        <v>623</v>
      </c>
      <c r="O37" s="1" t="str">
        <f>HYPERLINK("http://uff.co.za/","http://uff.co.za/")</f>
        <v>http://uff.co.za/</v>
      </c>
    </row>
    <row r="38" spans="1:15" ht="28.8" x14ac:dyDescent="0.3">
      <c r="D38" s="1" t="s">
        <v>580</v>
      </c>
      <c r="E38" s="1" t="s">
        <v>592</v>
      </c>
      <c r="F38" s="1" t="s">
        <v>130</v>
      </c>
      <c r="G38" s="1" t="s">
        <v>412</v>
      </c>
      <c r="H38" s="1" t="s">
        <v>37</v>
      </c>
      <c r="I38" s="1" t="s">
        <v>604</v>
      </c>
      <c r="J38" s="1" t="s">
        <v>816</v>
      </c>
      <c r="K38" s="1" t="s">
        <v>819</v>
      </c>
      <c r="M38" s="1" t="str">
        <f>HYPERLINK("http://cti-pfan.net/contact-us/","http://cti-pfan.net/contact-us/")</f>
        <v>http://cti-pfan.net/contact-us/</v>
      </c>
      <c r="O38" s="1" t="str">
        <f>HYPERLINK("http://cti-pfan.net/contact-us/","http://cti-pfan.net/")</f>
        <v>http://cti-pfan.net/</v>
      </c>
    </row>
    <row r="39" spans="1:15" ht="57.6" x14ac:dyDescent="0.3">
      <c r="D39" s="1" t="s">
        <v>580</v>
      </c>
      <c r="E39" s="1" t="s">
        <v>649</v>
      </c>
      <c r="G39" s="1" t="s">
        <v>139</v>
      </c>
      <c r="H39" s="1" t="s">
        <v>664</v>
      </c>
      <c r="I39" s="1" t="s">
        <v>658</v>
      </c>
      <c r="J39" s="1" t="s">
        <v>817</v>
      </c>
      <c r="K39" s="1" t="s">
        <v>828</v>
      </c>
      <c r="L39" s="1" t="s">
        <v>666</v>
      </c>
      <c r="M39" s="1" t="str">
        <f>HYPERLINK("mailto:RRose@edgegrowth.com","RRose@edgegrowth.com")</f>
        <v>RRose@edgegrowth.com</v>
      </c>
      <c r="N39" s="1" t="s">
        <v>667</v>
      </c>
      <c r="O39" s="1" t="str">
        <f>HYPERLINK("http://www.edgegrowth.com/","www.edgegrowth.com")</f>
        <v>www.edgegrowth.com</v>
      </c>
    </row>
    <row r="40" spans="1:15" ht="72" x14ac:dyDescent="0.3">
      <c r="A40" s="1" t="s">
        <v>23</v>
      </c>
      <c r="B40" s="1" t="s">
        <v>437</v>
      </c>
      <c r="C40" s="1" t="s">
        <v>436</v>
      </c>
      <c r="D40" s="1" t="s">
        <v>438</v>
      </c>
      <c r="E40" s="1" t="s">
        <v>293</v>
      </c>
      <c r="G40" s="1" t="s">
        <v>332</v>
      </c>
      <c r="H40" s="1" t="s">
        <v>337</v>
      </c>
      <c r="I40" s="1" t="s">
        <v>312</v>
      </c>
      <c r="J40" s="1" t="s">
        <v>818</v>
      </c>
      <c r="K40" s="1" t="s">
        <v>823</v>
      </c>
      <c r="N40" s="1" t="s">
        <v>358</v>
      </c>
      <c r="O40" s="1" t="str">
        <f>HYPERLINK("http://ariseinvest.com/","http://ariseinvest.com/")</f>
        <v>http://ariseinvest.com/</v>
      </c>
    </row>
    <row r="41" spans="1:15" ht="100.8" x14ac:dyDescent="0.3">
      <c r="A41" s="1" t="s">
        <v>721</v>
      </c>
      <c r="B41" s="1" t="s">
        <v>722</v>
      </c>
      <c r="C41" s="1" t="s">
        <v>723</v>
      </c>
      <c r="D41" s="1" t="s">
        <v>438</v>
      </c>
      <c r="E41" s="1" t="s">
        <v>626</v>
      </c>
      <c r="F41" s="1" t="s">
        <v>627</v>
      </c>
      <c r="G41" s="1" t="s">
        <v>332</v>
      </c>
      <c r="H41" s="1" t="s">
        <v>37</v>
      </c>
      <c r="I41" s="1" t="s">
        <v>632</v>
      </c>
      <c r="J41" s="1" t="s">
        <v>818</v>
      </c>
      <c r="K41" s="1" t="s">
        <v>823</v>
      </c>
      <c r="M41" s="1" t="s">
        <v>637</v>
      </c>
      <c r="O41" s="1" t="s">
        <v>641</v>
      </c>
    </row>
    <row r="42" spans="1:15" ht="86.4" x14ac:dyDescent="0.3">
      <c r="A42" s="1" t="s">
        <v>721</v>
      </c>
      <c r="B42" s="1" t="s">
        <v>412</v>
      </c>
      <c r="C42" s="1" t="s">
        <v>729</v>
      </c>
      <c r="D42" s="1" t="s">
        <v>438</v>
      </c>
      <c r="E42" s="1" t="s">
        <v>630</v>
      </c>
      <c r="F42" s="1" t="s">
        <v>631</v>
      </c>
      <c r="G42" s="1" t="s">
        <v>332</v>
      </c>
      <c r="H42" s="1" t="s">
        <v>37</v>
      </c>
      <c r="I42" s="1" t="s">
        <v>634</v>
      </c>
      <c r="J42" s="1" t="s">
        <v>817</v>
      </c>
      <c r="K42" s="1" t="s">
        <v>828</v>
      </c>
      <c r="L42" s="1" t="s">
        <v>636</v>
      </c>
      <c r="M42" s="1" t="s">
        <v>638</v>
      </c>
      <c r="N42" s="1" t="s">
        <v>640</v>
      </c>
      <c r="O42" s="1" t="s">
        <v>643</v>
      </c>
    </row>
    <row r="43" spans="1:15" ht="100.8" x14ac:dyDescent="0.3">
      <c r="A43" s="1" t="s">
        <v>721</v>
      </c>
      <c r="B43" s="1" t="s">
        <v>730</v>
      </c>
      <c r="C43" s="1" t="s">
        <v>731</v>
      </c>
      <c r="D43" s="1" t="s">
        <v>438</v>
      </c>
      <c r="E43" s="1" t="s">
        <v>644</v>
      </c>
      <c r="F43" s="1" t="s">
        <v>645</v>
      </c>
      <c r="G43" s="1" t="s">
        <v>332</v>
      </c>
      <c r="H43" s="1" t="s">
        <v>37</v>
      </c>
      <c r="I43" s="1" t="s">
        <v>655</v>
      </c>
      <c r="J43" s="1" t="s">
        <v>817</v>
      </c>
      <c r="K43" s="1" t="s">
        <v>828</v>
      </c>
      <c r="O43" s="1" t="str">
        <f>HYPERLINK("http://www.4dicapital.com/","www.4dicapital.com/")</f>
        <v>www.4dicapital.com/</v>
      </c>
    </row>
    <row r="44" spans="1:15" ht="86.4" x14ac:dyDescent="0.3">
      <c r="A44" s="1" t="s">
        <v>721</v>
      </c>
      <c r="B44" s="1" t="s">
        <v>730</v>
      </c>
      <c r="C44" s="1" t="s">
        <v>731</v>
      </c>
      <c r="D44" s="1" t="s">
        <v>438</v>
      </c>
      <c r="E44" s="1" t="s">
        <v>644</v>
      </c>
      <c r="F44" s="1" t="s">
        <v>646</v>
      </c>
      <c r="G44" s="1" t="s">
        <v>332</v>
      </c>
      <c r="H44" s="1" t="s">
        <v>37</v>
      </c>
      <c r="I44" s="1" t="s">
        <v>656</v>
      </c>
      <c r="J44" s="1" t="s">
        <v>817</v>
      </c>
      <c r="K44" s="1" t="s">
        <v>828</v>
      </c>
      <c r="O44" s="1" t="str">
        <f>HYPERLINK("http://www.4dicapital.com/","www.4dicapital.com/")</f>
        <v>www.4dicapital.com/</v>
      </c>
    </row>
    <row r="45" spans="1:15" ht="129.6" x14ac:dyDescent="0.3">
      <c r="A45" s="1" t="s">
        <v>721</v>
      </c>
      <c r="B45" s="1" t="s">
        <v>412</v>
      </c>
      <c r="C45" s="1" t="s">
        <v>732</v>
      </c>
      <c r="D45" s="1" t="s">
        <v>438</v>
      </c>
      <c r="E45" s="1" t="s">
        <v>647</v>
      </c>
      <c r="F45" s="1" t="s">
        <v>648</v>
      </c>
      <c r="G45" s="1" t="s">
        <v>332</v>
      </c>
      <c r="H45" s="1" t="s">
        <v>663</v>
      </c>
      <c r="I45" s="1" t="s">
        <v>657</v>
      </c>
      <c r="J45" s="1" t="s">
        <v>817</v>
      </c>
      <c r="K45" s="1" t="s">
        <v>828</v>
      </c>
      <c r="L45" s="1" t="s">
        <v>665</v>
      </c>
      <c r="M45" s="1" t="str">
        <f>HYPERLINK("mailto:info@angelhub.co.za.","info@angelhub.co.za")</f>
        <v>info@angelhub.co.za</v>
      </c>
      <c r="O45" s="1" t="str">
        <f>HYPERLINK("http://www.angelhub.co.za/","www.angelhub.co.za")</f>
        <v>www.angelhub.co.za</v>
      </c>
    </row>
    <row r="46" spans="1:15" ht="144" x14ac:dyDescent="0.3">
      <c r="A46" s="1" t="s">
        <v>23</v>
      </c>
      <c r="B46" s="1" t="s">
        <v>734</v>
      </c>
      <c r="C46" s="1" t="s">
        <v>733</v>
      </c>
      <c r="D46" s="1" t="s">
        <v>438</v>
      </c>
      <c r="E46" s="1" t="s">
        <v>650</v>
      </c>
      <c r="F46" s="1" t="s">
        <v>651</v>
      </c>
      <c r="G46" s="1" t="s">
        <v>332</v>
      </c>
      <c r="H46" s="1" t="s">
        <v>37</v>
      </c>
      <c r="I46" s="1" t="s">
        <v>659</v>
      </c>
      <c r="J46" s="1" t="s">
        <v>817</v>
      </c>
      <c r="K46" s="1" t="s">
        <v>828</v>
      </c>
      <c r="M46" s="1" t="str">
        <f>HYPERLINK("berg@goodwell.nl.","berg@goodwell.nl.")</f>
        <v>berg@goodwell.nl.</v>
      </c>
      <c r="N46" s="1" t="s">
        <v>668</v>
      </c>
      <c r="O46" s="1" t="str">
        <f>HYPERLINK("https://www.goodwell.nl/about/","https://www.goodwell.nl")</f>
        <v>https://www.goodwell.nl</v>
      </c>
    </row>
    <row r="47" spans="1:15" ht="72" x14ac:dyDescent="0.3">
      <c r="A47" s="1" t="s">
        <v>23</v>
      </c>
      <c r="B47" s="1" t="s">
        <v>748</v>
      </c>
      <c r="C47" s="1" t="s">
        <v>749</v>
      </c>
      <c r="D47" s="1" t="s">
        <v>438</v>
      </c>
      <c r="E47" s="1" t="s">
        <v>652</v>
      </c>
      <c r="F47" s="1" t="s">
        <v>735</v>
      </c>
      <c r="G47" s="1" t="s">
        <v>139</v>
      </c>
      <c r="H47" s="1" t="s">
        <v>37</v>
      </c>
      <c r="I47" s="1" t="s">
        <v>660</v>
      </c>
      <c r="J47" s="1" t="s">
        <v>817</v>
      </c>
      <c r="K47" s="1" t="s">
        <v>828</v>
      </c>
      <c r="M47" s="1" t="str">
        <f>HYPERLINK("mailto:info@hp-ventures.com","info@hp-ventures.com")</f>
        <v>info@hp-ventures.com</v>
      </c>
      <c r="N47" s="1" t="s">
        <v>669</v>
      </c>
      <c r="O47" s="1" t="str">
        <f>HYPERLINK("http://www.hp-ventures.co.za/","www.hp-ventures.co.za")</f>
        <v>www.hp-ventures.co.za</v>
      </c>
    </row>
    <row r="48" spans="1:15" ht="43.2" x14ac:dyDescent="0.3">
      <c r="A48" s="1" t="s">
        <v>23</v>
      </c>
      <c r="B48" s="1" t="s">
        <v>748</v>
      </c>
      <c r="C48" s="1" t="s">
        <v>407</v>
      </c>
      <c r="D48" s="1" t="s">
        <v>438</v>
      </c>
      <c r="E48" s="1" t="s">
        <v>653</v>
      </c>
      <c r="F48" s="1" t="s">
        <v>750</v>
      </c>
      <c r="G48" s="1" t="s">
        <v>332</v>
      </c>
      <c r="H48" s="1" t="s">
        <v>37</v>
      </c>
      <c r="I48" s="1" t="s">
        <v>661</v>
      </c>
      <c r="J48" s="1" t="s">
        <v>817</v>
      </c>
      <c r="K48" s="1" t="s">
        <v>828</v>
      </c>
      <c r="O48" s="4" t="str">
        <f>HYPERLINK("https://vilcap.com/geography/sub-saharan-africa/","https://vilcap.com")</f>
        <v>https://vilcap.com</v>
      </c>
    </row>
    <row r="49" spans="1:15" ht="115.2" x14ac:dyDescent="0.3">
      <c r="A49" s="1" t="s">
        <v>23</v>
      </c>
      <c r="D49" s="1" t="s">
        <v>846</v>
      </c>
      <c r="E49" s="1" t="s">
        <v>847</v>
      </c>
      <c r="F49" s="1" t="s">
        <v>847</v>
      </c>
      <c r="G49" s="1" t="s">
        <v>848</v>
      </c>
      <c r="H49" s="1" t="s">
        <v>849</v>
      </c>
      <c r="I49" s="1" t="s">
        <v>850</v>
      </c>
      <c r="J49" s="1" t="s">
        <v>816</v>
      </c>
      <c r="K49" s="1" t="s">
        <v>819</v>
      </c>
      <c r="L49" s="1" t="s">
        <v>851</v>
      </c>
      <c r="N49" s="1">
        <v>27109004141</v>
      </c>
      <c r="O49" s="4" t="s">
        <v>852</v>
      </c>
    </row>
    <row r="50" spans="1:15" ht="57.6" x14ac:dyDescent="0.3">
      <c r="A50" s="1" t="s">
        <v>23</v>
      </c>
      <c r="D50" s="1" t="s">
        <v>846</v>
      </c>
      <c r="E50" s="1" t="s">
        <v>584</v>
      </c>
      <c r="F50" s="1" t="s">
        <v>584</v>
      </c>
      <c r="G50" s="1" t="s">
        <v>709</v>
      </c>
      <c r="H50" s="1" t="s">
        <v>859</v>
      </c>
      <c r="I50" s="1" t="s">
        <v>858</v>
      </c>
      <c r="J50" s="1" t="s">
        <v>817</v>
      </c>
      <c r="K50" s="1" t="s">
        <v>828</v>
      </c>
      <c r="O50" s="1" t="s">
        <v>877</v>
      </c>
    </row>
    <row r="51" spans="1:15" ht="28.8" x14ac:dyDescent="0.3">
      <c r="A51" s="1" t="s">
        <v>23</v>
      </c>
      <c r="D51" s="1" t="s">
        <v>846</v>
      </c>
      <c r="E51" s="1" t="s">
        <v>853</v>
      </c>
      <c r="F51" s="1" t="s">
        <v>860</v>
      </c>
      <c r="G51" s="1" t="s">
        <v>33</v>
      </c>
      <c r="H51" s="1" t="s">
        <v>37</v>
      </c>
      <c r="I51" s="1" t="s">
        <v>861</v>
      </c>
      <c r="J51" s="1" t="s">
        <v>817</v>
      </c>
      <c r="K51" s="1" t="s">
        <v>828</v>
      </c>
      <c r="O51" s="1" t="s">
        <v>878</v>
      </c>
    </row>
    <row r="52" spans="1:15" ht="172.8" customHeight="1" x14ac:dyDescent="0.3">
      <c r="A52" s="1" t="s">
        <v>23</v>
      </c>
      <c r="D52" s="1" t="s">
        <v>846</v>
      </c>
      <c r="E52" s="1" t="s">
        <v>854</v>
      </c>
      <c r="F52" s="1" t="s">
        <v>863</v>
      </c>
      <c r="G52" s="1" t="s">
        <v>332</v>
      </c>
      <c r="H52" s="1" t="s">
        <v>37</v>
      </c>
      <c r="I52" s="36" t="s">
        <v>862</v>
      </c>
      <c r="J52" s="1" t="s">
        <v>817</v>
      </c>
      <c r="K52" s="1" t="s">
        <v>828</v>
      </c>
      <c r="O52" s="1" t="s">
        <v>879</v>
      </c>
    </row>
    <row r="53" spans="1:15" x14ac:dyDescent="0.3">
      <c r="A53" s="1" t="s">
        <v>23</v>
      </c>
      <c r="D53" s="1" t="s">
        <v>846</v>
      </c>
      <c r="E53" s="1" t="s">
        <v>854</v>
      </c>
      <c r="F53" s="1" t="s">
        <v>864</v>
      </c>
      <c r="G53" s="1" t="s">
        <v>865</v>
      </c>
      <c r="H53" s="1" t="s">
        <v>37</v>
      </c>
      <c r="I53" s="36"/>
      <c r="J53" s="1" t="s">
        <v>817</v>
      </c>
      <c r="K53" s="1" t="s">
        <v>828</v>
      </c>
      <c r="O53" s="1" t="s">
        <v>879</v>
      </c>
    </row>
    <row r="54" spans="1:15" ht="43.2" x14ac:dyDescent="0.3">
      <c r="A54" s="1" t="s">
        <v>23</v>
      </c>
      <c r="D54" s="1" t="s">
        <v>846</v>
      </c>
      <c r="E54" s="1" t="s">
        <v>855</v>
      </c>
      <c r="F54" s="1" t="s">
        <v>855</v>
      </c>
      <c r="G54" s="1" t="s">
        <v>332</v>
      </c>
      <c r="H54" s="1" t="s">
        <v>37</v>
      </c>
      <c r="I54" s="1" t="s">
        <v>866</v>
      </c>
      <c r="J54" s="1" t="s">
        <v>817</v>
      </c>
      <c r="K54" s="1" t="s">
        <v>828</v>
      </c>
      <c r="O54" s="1" t="s">
        <v>868</v>
      </c>
    </row>
    <row r="55" spans="1:15" ht="43.2" x14ac:dyDescent="0.3">
      <c r="A55" s="1" t="s">
        <v>23</v>
      </c>
      <c r="D55" s="1" t="s">
        <v>846</v>
      </c>
      <c r="E55" s="1" t="s">
        <v>867</v>
      </c>
      <c r="F55" s="1" t="s">
        <v>867</v>
      </c>
      <c r="G55" s="1" t="s">
        <v>135</v>
      </c>
      <c r="H55" s="1" t="s">
        <v>37</v>
      </c>
      <c r="I55" s="1" t="s">
        <v>869</v>
      </c>
      <c r="J55" s="1" t="s">
        <v>817</v>
      </c>
      <c r="K55" s="1" t="s">
        <v>828</v>
      </c>
      <c r="O55" s="1" t="s">
        <v>870</v>
      </c>
    </row>
    <row r="56" spans="1:15" ht="72" x14ac:dyDescent="0.3">
      <c r="A56" s="1" t="s">
        <v>23</v>
      </c>
      <c r="D56" s="1" t="s">
        <v>846</v>
      </c>
      <c r="E56" s="1" t="s">
        <v>856</v>
      </c>
      <c r="F56" s="1" t="s">
        <v>872</v>
      </c>
      <c r="G56" s="1" t="s">
        <v>873</v>
      </c>
      <c r="H56" s="1" t="s">
        <v>37</v>
      </c>
      <c r="I56" s="1" t="s">
        <v>871</v>
      </c>
      <c r="J56" s="1" t="s">
        <v>817</v>
      </c>
      <c r="K56" s="1" t="s">
        <v>828</v>
      </c>
      <c r="O56" s="1" t="s">
        <v>876</v>
      </c>
    </row>
    <row r="57" spans="1:15" ht="72" x14ac:dyDescent="0.3">
      <c r="A57" s="1" t="s">
        <v>23</v>
      </c>
      <c r="D57" s="1" t="s">
        <v>846</v>
      </c>
      <c r="E57" s="1" t="s">
        <v>857</v>
      </c>
      <c r="F57" s="1" t="s">
        <v>857</v>
      </c>
      <c r="G57" s="1" t="s">
        <v>135</v>
      </c>
      <c r="H57" s="1" t="s">
        <v>37</v>
      </c>
      <c r="I57" s="1" t="s">
        <v>874</v>
      </c>
      <c r="J57" s="1" t="s">
        <v>817</v>
      </c>
      <c r="K57" s="1" t="s">
        <v>828</v>
      </c>
      <c r="O57" s="1" t="s">
        <v>875</v>
      </c>
    </row>
    <row r="58" spans="1:15" ht="57.6" x14ac:dyDescent="0.3">
      <c r="A58" s="1" t="s">
        <v>886</v>
      </c>
      <c r="D58" s="1" t="s">
        <v>846</v>
      </c>
      <c r="E58" s="1" t="s">
        <v>881</v>
      </c>
      <c r="F58" s="1" t="s">
        <v>881</v>
      </c>
      <c r="G58" s="1" t="s">
        <v>848</v>
      </c>
      <c r="H58" s="1" t="s">
        <v>880</v>
      </c>
      <c r="I58" s="1" t="s">
        <v>882</v>
      </c>
      <c r="J58" s="1" t="s">
        <v>817</v>
      </c>
      <c r="K58" s="1" t="s">
        <v>828</v>
      </c>
      <c r="O58" s="4" t="s">
        <v>883</v>
      </c>
    </row>
  </sheetData>
  <autoFilter ref="A1:O48"/>
  <mergeCells count="1">
    <mergeCell ref="I52:I53"/>
  </mergeCells>
  <hyperlinks>
    <hyperlink ref="O19" r:id="rId1"/>
    <hyperlink ref="O49" r:id="rId2"/>
    <hyperlink ref="O58" r:id="rId3"/>
  </hyperlinks>
  <pageMargins left="0.7" right="0.7" top="0.75" bottom="0.75" header="0.3" footer="0.3"/>
  <pageSetup orientation="portrait"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Input!$A$32:$A$34</xm:f>
          </x14:formula1>
          <xm:sqref>J2:J58</xm:sqref>
        </x14:dataValidation>
        <x14:dataValidation type="list" allowBlank="1" showInputMessage="1" showErrorMessage="1">
          <x14:formula1>
            <xm:f>Input!$A$36:$A$45</xm:f>
          </x14:formula1>
          <xm:sqref>K2:K58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80" zoomScaleNormal="80" workbookViewId="0">
      <pane ySplit="1" topLeftCell="A2" activePane="bottomLeft" state="frozen"/>
      <selection pane="bottomLeft" activeCell="C5" sqref="C5"/>
    </sheetView>
  </sheetViews>
  <sheetFormatPr defaultColWidth="9.109375" defaultRowHeight="14.4" x14ac:dyDescent="0.3"/>
  <cols>
    <col min="1" max="1" width="14.33203125" style="1" bestFit="1" customWidth="1"/>
    <col min="2" max="2" width="15.88671875" style="1" bestFit="1" customWidth="1"/>
    <col min="3" max="3" width="41" style="1" bestFit="1" customWidth="1"/>
    <col min="4" max="4" width="24.88671875" style="1" bestFit="1" customWidth="1"/>
    <col min="5" max="5" width="35.44140625" style="1" bestFit="1" customWidth="1"/>
    <col min="6" max="6" width="34" style="1" bestFit="1" customWidth="1"/>
    <col min="7" max="7" width="23.44140625" style="1" bestFit="1" customWidth="1"/>
    <col min="8" max="8" width="28.6640625" style="1" bestFit="1" customWidth="1"/>
    <col min="9" max="9" width="82.88671875" style="1" bestFit="1" customWidth="1"/>
    <col min="10" max="10" width="26.44140625" style="1" bestFit="1" customWidth="1"/>
    <col min="11" max="11" width="23.33203125" style="1" customWidth="1"/>
    <col min="12" max="12" width="27.88671875" style="1" bestFit="1" customWidth="1"/>
    <col min="13" max="13" width="33" style="1" customWidth="1"/>
    <col min="14" max="14" width="20.5546875" style="1" bestFit="1" customWidth="1"/>
    <col min="15" max="15" width="24.33203125" style="1" bestFit="1" customWidth="1"/>
    <col min="16" max="16384" width="9.109375" style="1"/>
  </cols>
  <sheetData>
    <row r="1" spans="1:15" s="2" customFormat="1" ht="43.2" x14ac:dyDescent="0.3">
      <c r="A1" s="3" t="s">
        <v>13</v>
      </c>
      <c r="B1" s="3" t="s">
        <v>7</v>
      </c>
      <c r="C1" s="3" t="s">
        <v>8</v>
      </c>
      <c r="D1" s="3" t="s">
        <v>10</v>
      </c>
      <c r="E1" s="3" t="s">
        <v>11</v>
      </c>
      <c r="F1" s="3" t="s">
        <v>20</v>
      </c>
      <c r="G1" s="3" t="s">
        <v>9</v>
      </c>
      <c r="H1" s="3" t="s">
        <v>19</v>
      </c>
      <c r="I1" s="3" t="s">
        <v>0</v>
      </c>
      <c r="J1" s="3" t="s">
        <v>12</v>
      </c>
      <c r="K1" s="3" t="s">
        <v>14</v>
      </c>
      <c r="L1" s="3" t="s">
        <v>16</v>
      </c>
      <c r="M1" s="3" t="s">
        <v>17</v>
      </c>
      <c r="N1" s="3" t="s">
        <v>18</v>
      </c>
      <c r="O1" s="3" t="s">
        <v>15</v>
      </c>
    </row>
    <row r="2" spans="1:15" ht="144" x14ac:dyDescent="0.3">
      <c r="A2" s="1" t="s">
        <v>373</v>
      </c>
      <c r="B2" s="1" t="s">
        <v>717</v>
      </c>
      <c r="C2" s="1" t="s">
        <v>716</v>
      </c>
      <c r="D2" s="1" t="s">
        <v>418</v>
      </c>
      <c r="E2" s="1" t="s">
        <v>71</v>
      </c>
      <c r="F2" s="1" t="s">
        <v>94</v>
      </c>
      <c r="G2" s="1" t="s">
        <v>134</v>
      </c>
      <c r="H2" s="1" t="s">
        <v>153</v>
      </c>
      <c r="I2" s="1" t="s">
        <v>126</v>
      </c>
      <c r="J2" s="1" t="s">
        <v>817</v>
      </c>
      <c r="K2" s="1" t="s">
        <v>828</v>
      </c>
      <c r="L2" s="1" t="s">
        <v>169</v>
      </c>
      <c r="M2" s="1" t="s">
        <v>195</v>
      </c>
      <c r="N2" s="1" t="s">
        <v>188</v>
      </c>
      <c r="O2" s="1" t="str">
        <f>HYPERLINK("http://cdicapital.co.za/growthfund/","http://cdicapital.co.za/growthfund/")</f>
        <v>http://cdicapital.co.za/growthfund/</v>
      </c>
    </row>
    <row r="3" spans="1:15" ht="43.2" x14ac:dyDescent="0.3">
      <c r="A3" s="1" t="s">
        <v>373</v>
      </c>
      <c r="B3" s="1" t="s">
        <v>717</v>
      </c>
      <c r="C3" s="1" t="s">
        <v>716</v>
      </c>
      <c r="D3" s="1" t="s">
        <v>418</v>
      </c>
      <c r="E3" s="1" t="s">
        <v>71</v>
      </c>
      <c r="F3" s="1" t="s">
        <v>95</v>
      </c>
      <c r="G3" s="1" t="s">
        <v>134</v>
      </c>
      <c r="H3" s="1" t="s">
        <v>37</v>
      </c>
      <c r="I3" s="1" t="s">
        <v>127</v>
      </c>
      <c r="J3" s="1" t="s">
        <v>817</v>
      </c>
      <c r="K3" s="1" t="s">
        <v>828</v>
      </c>
      <c r="L3" s="1" t="s">
        <v>169</v>
      </c>
      <c r="M3" s="1" t="s">
        <v>195</v>
      </c>
      <c r="N3" s="1" t="s">
        <v>188</v>
      </c>
      <c r="O3" s="1" t="str">
        <f>HYPERLINK("http://cdicapital.co.za/growthfund/","http://cdicapital.co.za/growthfund/")</f>
        <v>http://cdicapital.co.za/growthfund/</v>
      </c>
    </row>
    <row r="4" spans="1:15" ht="43.2" x14ac:dyDescent="0.3">
      <c r="A4" s="1" t="s">
        <v>373</v>
      </c>
      <c r="B4" s="1" t="s">
        <v>717</v>
      </c>
      <c r="C4" s="1" t="s">
        <v>716</v>
      </c>
      <c r="D4" s="1" t="s">
        <v>418</v>
      </c>
      <c r="E4" s="1" t="s">
        <v>71</v>
      </c>
      <c r="F4" s="1" t="s">
        <v>96</v>
      </c>
      <c r="G4" s="1" t="s">
        <v>134</v>
      </c>
      <c r="H4" s="1" t="s">
        <v>37</v>
      </c>
      <c r="I4" s="1" t="s">
        <v>128</v>
      </c>
      <c r="J4" s="1" t="s">
        <v>817</v>
      </c>
      <c r="K4" s="1" t="s">
        <v>828</v>
      </c>
      <c r="L4" s="1" t="s">
        <v>169</v>
      </c>
      <c r="M4" s="1" t="s">
        <v>195</v>
      </c>
      <c r="N4" s="1" t="s">
        <v>188</v>
      </c>
      <c r="O4" s="1" t="str">
        <f>HYPERLINK("http://cdicapital.co.za/growthfund/","http://cdicapital.co.za/growthfund/")</f>
        <v>http://cdicapital.co.za/growthfund/</v>
      </c>
    </row>
    <row r="5" spans="1:15" ht="158.4" x14ac:dyDescent="0.3">
      <c r="A5" s="1" t="s">
        <v>23</v>
      </c>
      <c r="B5" s="1" t="s">
        <v>427</v>
      </c>
      <c r="C5" s="1" t="s">
        <v>718</v>
      </c>
      <c r="D5" s="1" t="s">
        <v>418</v>
      </c>
      <c r="E5" s="1" t="s">
        <v>302</v>
      </c>
      <c r="F5" s="1" t="s">
        <v>302</v>
      </c>
      <c r="G5" s="1" t="s">
        <v>141</v>
      </c>
      <c r="H5" s="1" t="s">
        <v>340</v>
      </c>
      <c r="I5" s="1" t="s">
        <v>323</v>
      </c>
      <c r="J5" s="1" t="s">
        <v>817</v>
      </c>
      <c r="K5" s="1" t="s">
        <v>828</v>
      </c>
      <c r="O5" s="1" t="str">
        <f>HYPERLINK("http://www.globalinnovation.fund/","www.globalinnovation.fund/")</f>
        <v>www.globalinnovation.fund/</v>
      </c>
    </row>
    <row r="6" spans="1:15" ht="201.6" x14ac:dyDescent="0.3">
      <c r="A6" s="1" t="s">
        <v>23</v>
      </c>
      <c r="B6" s="1" t="s">
        <v>720</v>
      </c>
      <c r="C6" s="1" t="s">
        <v>719</v>
      </c>
      <c r="D6" s="1" t="s">
        <v>418</v>
      </c>
      <c r="E6" s="1" t="s">
        <v>304</v>
      </c>
      <c r="G6" s="1" t="s">
        <v>134</v>
      </c>
      <c r="H6" s="1" t="s">
        <v>341</v>
      </c>
      <c r="I6" s="1" t="s">
        <v>326</v>
      </c>
      <c r="J6" s="1" t="s">
        <v>816</v>
      </c>
      <c r="K6" s="1" t="s">
        <v>819</v>
      </c>
      <c r="L6" s="1" t="s">
        <v>352</v>
      </c>
      <c r="M6" s="1" t="str">
        <f>HYPERLINK("mailto:Nicole.Algio@reeep.org","Nicole.Algio@reeep.org")</f>
        <v>Nicole.Algio@reeep.org</v>
      </c>
      <c r="N6" s="1" t="s">
        <v>368</v>
      </c>
      <c r="O6" s="1" t="str">
        <f>HYPERLINK("http://www.reeep.org/","www.reeep.org")</f>
        <v>www.reeep.org</v>
      </c>
    </row>
    <row r="7" spans="1:15" ht="86.4" x14ac:dyDescent="0.3">
      <c r="A7" s="1" t="s">
        <v>23</v>
      </c>
      <c r="B7" s="1" t="s">
        <v>725</v>
      </c>
      <c r="C7" s="1" t="s">
        <v>724</v>
      </c>
      <c r="D7" s="1" t="s">
        <v>418</v>
      </c>
      <c r="E7" s="1" t="s">
        <v>628</v>
      </c>
      <c r="F7" s="1" t="s">
        <v>629</v>
      </c>
      <c r="G7" s="1" t="s">
        <v>2</v>
      </c>
      <c r="H7" s="1" t="s">
        <v>635</v>
      </c>
      <c r="I7" s="1" t="s">
        <v>633</v>
      </c>
      <c r="J7" s="1" t="s">
        <v>817</v>
      </c>
      <c r="K7" s="1" t="s">
        <v>823</v>
      </c>
      <c r="N7" s="1" t="s">
        <v>639</v>
      </c>
      <c r="O7" s="1" t="s">
        <v>642</v>
      </c>
    </row>
    <row r="8" spans="1:15" ht="57.6" x14ac:dyDescent="0.3">
      <c r="A8" s="1" t="s">
        <v>373</v>
      </c>
      <c r="B8" s="1" t="s">
        <v>24</v>
      </c>
      <c r="C8" s="1" t="s">
        <v>726</v>
      </c>
      <c r="D8" s="1" t="s">
        <v>677</v>
      </c>
      <c r="E8" s="1" t="s">
        <v>670</v>
      </c>
      <c r="F8" s="1" t="s">
        <v>671</v>
      </c>
      <c r="G8" s="1" t="s">
        <v>683</v>
      </c>
      <c r="I8" s="1" t="s">
        <v>679</v>
      </c>
      <c r="J8" s="1" t="s">
        <v>817</v>
      </c>
      <c r="K8" s="1" t="s">
        <v>823</v>
      </c>
      <c r="L8" s="1" t="s">
        <v>685</v>
      </c>
      <c r="M8" s="1" t="s">
        <v>690</v>
      </c>
      <c r="N8" s="1" t="s">
        <v>686</v>
      </c>
      <c r="O8" s="1" t="s">
        <v>694</v>
      </c>
    </row>
    <row r="9" spans="1:15" ht="57.6" x14ac:dyDescent="0.3">
      <c r="A9" s="1" t="s">
        <v>721</v>
      </c>
      <c r="B9" s="1" t="s">
        <v>722</v>
      </c>
      <c r="C9" s="1" t="s">
        <v>672</v>
      </c>
      <c r="D9" s="1" t="s">
        <v>678</v>
      </c>
      <c r="E9" s="1" t="s">
        <v>672</v>
      </c>
      <c r="F9" s="1" t="s">
        <v>673</v>
      </c>
      <c r="G9" s="1" t="s">
        <v>332</v>
      </c>
      <c r="I9" s="1" t="s">
        <v>680</v>
      </c>
      <c r="J9" s="1" t="s">
        <v>817</v>
      </c>
      <c r="K9" s="1" t="s">
        <v>823</v>
      </c>
      <c r="M9" s="1" t="s">
        <v>691</v>
      </c>
      <c r="N9" s="1" t="s">
        <v>687</v>
      </c>
      <c r="O9" s="1" t="s">
        <v>695</v>
      </c>
    </row>
    <row r="10" spans="1:15" ht="72" x14ac:dyDescent="0.3">
      <c r="A10" s="1" t="s">
        <v>721</v>
      </c>
      <c r="B10" s="1" t="s">
        <v>722</v>
      </c>
      <c r="C10" s="1" t="s">
        <v>675</v>
      </c>
      <c r="D10" s="1" t="s">
        <v>678</v>
      </c>
      <c r="E10" s="1" t="s">
        <v>675</v>
      </c>
      <c r="F10" s="1" t="s">
        <v>676</v>
      </c>
      <c r="G10" s="1" t="s">
        <v>683</v>
      </c>
      <c r="H10" s="1" t="s">
        <v>684</v>
      </c>
      <c r="I10" s="1" t="s">
        <v>682</v>
      </c>
      <c r="J10" s="1" t="s">
        <v>817</v>
      </c>
      <c r="K10" s="1" t="s">
        <v>823</v>
      </c>
      <c r="M10" s="1" t="s">
        <v>693</v>
      </c>
      <c r="N10" s="1" t="s">
        <v>689</v>
      </c>
      <c r="O10" s="1" t="s">
        <v>697</v>
      </c>
    </row>
    <row r="11" spans="1:15" ht="144" x14ac:dyDescent="0.3">
      <c r="A11" s="1" t="s">
        <v>721</v>
      </c>
      <c r="B11" s="1" t="s">
        <v>722</v>
      </c>
      <c r="C11" s="1" t="s">
        <v>698</v>
      </c>
      <c r="D11" s="1" t="s">
        <v>678</v>
      </c>
      <c r="E11" s="1" t="s">
        <v>698</v>
      </c>
      <c r="F11" s="1" t="s">
        <v>699</v>
      </c>
      <c r="G11" s="1" t="s">
        <v>709</v>
      </c>
      <c r="H11" s="1" t="s">
        <v>710</v>
      </c>
      <c r="I11" s="1" t="s">
        <v>705</v>
      </c>
      <c r="J11" s="1" t="s">
        <v>817</v>
      </c>
      <c r="K11" s="1" t="s">
        <v>828</v>
      </c>
      <c r="L11" s="1" t="s">
        <v>712</v>
      </c>
      <c r="N11" s="1" t="s">
        <v>713</v>
      </c>
      <c r="O11" s="1" t="str">
        <f>HYPERLINK("https://southafrica.angloamerican.com/our-difference/zimele","https://southafrica.angloamerican.com/")</f>
        <v>https://southafrica.angloamerican.com/</v>
      </c>
    </row>
    <row r="12" spans="1:15" ht="115.2" x14ac:dyDescent="0.3">
      <c r="A12" s="1" t="s">
        <v>373</v>
      </c>
      <c r="B12" s="1" t="s">
        <v>24</v>
      </c>
      <c r="C12" s="1" t="s">
        <v>58</v>
      </c>
      <c r="D12" s="1" t="s">
        <v>678</v>
      </c>
      <c r="E12" s="1" t="s">
        <v>58</v>
      </c>
      <c r="F12" s="1" t="s">
        <v>700</v>
      </c>
      <c r="G12" s="1" t="s">
        <v>709</v>
      </c>
      <c r="I12" s="1" t="s">
        <v>706</v>
      </c>
      <c r="J12" s="1" t="s">
        <v>817</v>
      </c>
      <c r="K12" s="1" t="s">
        <v>828</v>
      </c>
      <c r="M12" s="1" t="str">
        <f>HYPERLINK("helpline@khula.org.za","helpline@khula.org.za")</f>
        <v>helpline@khula.org.za</v>
      </c>
      <c r="N12" s="1" t="s">
        <v>714</v>
      </c>
      <c r="O12" s="1" t="str">
        <f>HYPERLINK("www.khula.org.za","www.khula.org.za")</f>
        <v>www.khula.org.za</v>
      </c>
    </row>
    <row r="13" spans="1:15" ht="72" x14ac:dyDescent="0.3">
      <c r="A13" s="1" t="s">
        <v>23</v>
      </c>
      <c r="B13" s="1" t="s">
        <v>717</v>
      </c>
      <c r="C13" s="1" t="s">
        <v>58</v>
      </c>
      <c r="D13" s="1" t="s">
        <v>678</v>
      </c>
      <c r="E13" s="1" t="s">
        <v>701</v>
      </c>
      <c r="F13" s="1" t="s">
        <v>702</v>
      </c>
      <c r="G13" s="1" t="s">
        <v>709</v>
      </c>
      <c r="H13" s="1" t="s">
        <v>711</v>
      </c>
      <c r="I13" s="1" t="s">
        <v>707</v>
      </c>
      <c r="J13" s="1" t="s">
        <v>817</v>
      </c>
      <c r="K13" s="1" t="s">
        <v>828</v>
      </c>
      <c r="M13" s="1" t="str">
        <f>HYPERLINK("info@sisonkefund.co.za","info@sisonkefund.co.za")</f>
        <v>info@sisonkefund.co.za</v>
      </c>
      <c r="N13" s="1" t="s">
        <v>715</v>
      </c>
    </row>
    <row r="14" spans="1:15" ht="57.6" x14ac:dyDescent="0.3">
      <c r="A14" s="1" t="s">
        <v>23</v>
      </c>
      <c r="B14" s="1" t="s">
        <v>717</v>
      </c>
      <c r="C14" s="1" t="s">
        <v>58</v>
      </c>
      <c r="D14" s="1" t="s">
        <v>678</v>
      </c>
      <c r="E14" s="1" t="s">
        <v>703</v>
      </c>
      <c r="F14" s="1" t="s">
        <v>704</v>
      </c>
      <c r="G14" s="1" t="s">
        <v>139</v>
      </c>
      <c r="I14" s="1" t="s">
        <v>708</v>
      </c>
      <c r="J14" s="1" t="s">
        <v>817</v>
      </c>
      <c r="K14" s="1" t="s">
        <v>823</v>
      </c>
    </row>
  </sheetData>
  <autoFilter ref="A1:O14"/>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Input!$A$32:$A$34</xm:f>
          </x14:formula1>
          <xm:sqref>J2:J14</xm:sqref>
        </x14:dataValidation>
        <x14:dataValidation type="list" allowBlank="1" showInputMessage="1" showErrorMessage="1">
          <x14:formula1>
            <xm:f>Input!$A$36:$A$45</xm:f>
          </x14:formula1>
          <xm:sqref>K2:K14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topLeftCell="A4" workbookViewId="0">
      <selection activeCell="A12" sqref="A12:A17"/>
    </sheetView>
  </sheetViews>
  <sheetFormatPr defaultRowHeight="14.4" x14ac:dyDescent="0.3"/>
  <cols>
    <col min="1" max="1" width="47.21875" bestFit="1" customWidth="1"/>
  </cols>
  <sheetData>
    <row r="1" spans="1:1" x14ac:dyDescent="0.3">
      <c r="A1" s="8" t="s">
        <v>799</v>
      </c>
    </row>
    <row r="2" spans="1:1" x14ac:dyDescent="0.3">
      <c r="A2" s="9" t="s">
        <v>23</v>
      </c>
    </row>
    <row r="3" spans="1:1" x14ac:dyDescent="0.3">
      <c r="A3" s="9" t="s">
        <v>373</v>
      </c>
    </row>
    <row r="4" spans="1:1" ht="15" thickBot="1" x14ac:dyDescent="0.35">
      <c r="A4" s="9" t="s">
        <v>721</v>
      </c>
    </row>
    <row r="5" spans="1:1" x14ac:dyDescent="0.3">
      <c r="A5" s="8" t="s">
        <v>7</v>
      </c>
    </row>
    <row r="6" spans="1:1" x14ac:dyDescent="0.3">
      <c r="A6" s="10" t="s">
        <v>24</v>
      </c>
    </row>
    <row r="7" spans="1:1" x14ac:dyDescent="0.3">
      <c r="A7" s="9" t="s">
        <v>802</v>
      </c>
    </row>
    <row r="8" spans="1:1" x14ac:dyDescent="0.3">
      <c r="A8" s="10" t="s">
        <v>803</v>
      </c>
    </row>
    <row r="9" spans="1:1" x14ac:dyDescent="0.3">
      <c r="A9" s="10" t="s">
        <v>722</v>
      </c>
    </row>
    <row r="10" spans="1:1" ht="15" thickBot="1" x14ac:dyDescent="0.35">
      <c r="A10" s="10" t="s">
        <v>412</v>
      </c>
    </row>
    <row r="11" spans="1:1" x14ac:dyDescent="0.3">
      <c r="A11" s="8" t="s">
        <v>9</v>
      </c>
    </row>
    <row r="12" spans="1:1" x14ac:dyDescent="0.3">
      <c r="A12" s="9" t="s">
        <v>134</v>
      </c>
    </row>
    <row r="13" spans="1:1" x14ac:dyDescent="0.3">
      <c r="A13" s="9" t="s">
        <v>804</v>
      </c>
    </row>
    <row r="14" spans="1:1" x14ac:dyDescent="0.3">
      <c r="A14" s="10" t="s">
        <v>33</v>
      </c>
    </row>
    <row r="15" spans="1:1" x14ac:dyDescent="0.3">
      <c r="A15" s="10" t="s">
        <v>332</v>
      </c>
    </row>
    <row r="16" spans="1:1" x14ac:dyDescent="0.3">
      <c r="A16" s="11" t="s">
        <v>805</v>
      </c>
    </row>
    <row r="17" spans="1:1" ht="15" thickBot="1" x14ac:dyDescent="0.35">
      <c r="A17" s="10" t="s">
        <v>412</v>
      </c>
    </row>
    <row r="18" spans="1:1" x14ac:dyDescent="0.3">
      <c r="A18" s="8" t="s">
        <v>10</v>
      </c>
    </row>
    <row r="19" spans="1:1" x14ac:dyDescent="0.3">
      <c r="A19" s="9" t="s">
        <v>802</v>
      </c>
    </row>
    <row r="20" spans="1:1" x14ac:dyDescent="0.3">
      <c r="A20" s="9" t="s">
        <v>24</v>
      </c>
    </row>
    <row r="21" spans="1:1" x14ac:dyDescent="0.3">
      <c r="A21" s="10" t="s">
        <v>806</v>
      </c>
    </row>
    <row r="22" spans="1:1" x14ac:dyDescent="0.3">
      <c r="A22" s="10" t="s">
        <v>807</v>
      </c>
    </row>
    <row r="23" spans="1:1" x14ac:dyDescent="0.3">
      <c r="A23" s="9" t="s">
        <v>808</v>
      </c>
    </row>
    <row r="24" spans="1:1" x14ac:dyDescent="0.3">
      <c r="A24" s="9" t="s">
        <v>809</v>
      </c>
    </row>
    <row r="25" spans="1:1" x14ac:dyDescent="0.3">
      <c r="A25" s="10" t="s">
        <v>810</v>
      </c>
    </row>
    <row r="26" spans="1:1" x14ac:dyDescent="0.3">
      <c r="A26" s="10" t="s">
        <v>811</v>
      </c>
    </row>
    <row r="27" spans="1:1" x14ac:dyDescent="0.3">
      <c r="A27" s="9" t="s">
        <v>812</v>
      </c>
    </row>
    <row r="28" spans="1:1" x14ac:dyDescent="0.3">
      <c r="A28" s="10" t="s">
        <v>813</v>
      </c>
    </row>
    <row r="29" spans="1:1" x14ac:dyDescent="0.3">
      <c r="A29" s="10" t="s">
        <v>814</v>
      </c>
    </row>
    <row r="30" spans="1:1" ht="15" thickBot="1" x14ac:dyDescent="0.35">
      <c r="A30" s="10" t="s">
        <v>815</v>
      </c>
    </row>
    <row r="31" spans="1:1" x14ac:dyDescent="0.3">
      <c r="A31" s="8" t="s">
        <v>800</v>
      </c>
    </row>
    <row r="32" spans="1:1" x14ac:dyDescent="0.3">
      <c r="A32" s="10" t="s">
        <v>816</v>
      </c>
    </row>
    <row r="33" spans="1:1" x14ac:dyDescent="0.3">
      <c r="A33" s="10" t="s">
        <v>817</v>
      </c>
    </row>
    <row r="34" spans="1:1" ht="15" thickBot="1" x14ac:dyDescent="0.35">
      <c r="A34" s="10" t="s">
        <v>818</v>
      </c>
    </row>
    <row r="35" spans="1:1" ht="15.6" x14ac:dyDescent="0.3">
      <c r="A35" s="12" t="s">
        <v>801</v>
      </c>
    </row>
    <row r="36" spans="1:1" x14ac:dyDescent="0.3">
      <c r="A36" s="13" t="s">
        <v>819</v>
      </c>
    </row>
    <row r="37" spans="1:1" x14ac:dyDescent="0.3">
      <c r="A37" s="9" t="s">
        <v>820</v>
      </c>
    </row>
    <row r="38" spans="1:1" x14ac:dyDescent="0.3">
      <c r="A38" s="9" t="s">
        <v>821</v>
      </c>
    </row>
    <row r="39" spans="1:1" x14ac:dyDescent="0.3">
      <c r="A39" s="14" t="s">
        <v>822</v>
      </c>
    </row>
    <row r="40" spans="1:1" x14ac:dyDescent="0.3">
      <c r="A40" s="13" t="s">
        <v>823</v>
      </c>
    </row>
    <row r="41" spans="1:1" x14ac:dyDescent="0.3">
      <c r="A41" s="13" t="s">
        <v>824</v>
      </c>
    </row>
    <row r="42" spans="1:1" x14ac:dyDescent="0.3">
      <c r="A42" s="13" t="s">
        <v>825</v>
      </c>
    </row>
    <row r="43" spans="1:1" x14ac:dyDescent="0.3">
      <c r="A43" s="13" t="s">
        <v>826</v>
      </c>
    </row>
    <row r="44" spans="1:1" x14ac:dyDescent="0.3">
      <c r="A44" s="13" t="s">
        <v>827</v>
      </c>
    </row>
    <row r="45" spans="1:1" x14ac:dyDescent="0.3">
      <c r="A45" s="13" t="s">
        <v>828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 sheet</vt:lpstr>
      <vt:lpstr>Background &amp; Instructions</vt:lpstr>
      <vt:lpstr>Government</vt:lpstr>
      <vt:lpstr> Development Finance (DFI)</vt:lpstr>
      <vt:lpstr>Commercial</vt:lpstr>
      <vt:lpstr>Other</vt:lpstr>
      <vt:lpstr>Input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c:creator>
  <cp:lastModifiedBy>Jack</cp:lastModifiedBy>
  <dcterms:created xsi:type="dcterms:W3CDTF">2019-01-24T12:33:45Z</dcterms:created>
  <dcterms:modified xsi:type="dcterms:W3CDTF">2022-02-28T18:54:09Z</dcterms:modified>
</cp:coreProperties>
</file>